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Bilan _unités physiques_" sheetId="1" r:id="rId1"/>
    <sheet name="Coefficients" sheetId="2" r:id="rId2"/>
    <sheet name="Bilan_tep" sheetId="3" r:id="rId3"/>
    <sheet name="Bilan_agrégé_tep" sheetId="4" r:id="rId4"/>
  </sheets>
  <definedNames>
    <definedName name="_xlnm.Print_Area" localSheetId="0">'Bilan _unités physiques_'!$A$1:$Q$46</definedName>
  </definedNames>
  <calcPr fullCalcOnLoad="1"/>
</workbook>
</file>

<file path=xl/sharedStrings.xml><?xml version="1.0" encoding="utf-8"?>
<sst xmlns="http://schemas.openxmlformats.org/spreadsheetml/2006/main" count="222" uniqueCount="112">
  <si>
    <t>Bois de feu (t)</t>
  </si>
  <si>
    <t>Charbon de bois (t)</t>
  </si>
  <si>
    <t>Résidus agricoles ou déchéts (t)</t>
  </si>
  <si>
    <t>Pétrole brut (t)</t>
  </si>
  <si>
    <t>GPL (t)</t>
  </si>
  <si>
    <t>Essence (t)</t>
  </si>
  <si>
    <t>Carburéacteur (t)</t>
  </si>
  <si>
    <t>Pétrole Lampant (t)</t>
  </si>
  <si>
    <t>Diesel &amp; Gasoil (t)</t>
  </si>
  <si>
    <t>Fioul (t)</t>
  </si>
  <si>
    <t>Autres produits pétroliers (t)</t>
  </si>
  <si>
    <t>Charbon minéral (t)</t>
  </si>
  <si>
    <t>Hydroélectricité (GWh)</t>
  </si>
  <si>
    <t>Total Electricité (Gwh)</t>
  </si>
  <si>
    <t>Production</t>
  </si>
  <si>
    <t>Importations</t>
  </si>
  <si>
    <t>Exportations</t>
  </si>
  <si>
    <t>Soutages maritimes internationaux</t>
  </si>
  <si>
    <t>Variation des stocks</t>
  </si>
  <si>
    <t>Approvisionnements intérieur</t>
  </si>
  <si>
    <t>Transferts</t>
  </si>
  <si>
    <t>Ecarts statistiques</t>
  </si>
  <si>
    <t>Total secteur transformation</t>
  </si>
  <si>
    <t>Centrales électriques publiques</t>
  </si>
  <si>
    <t>Autoproducteurs d'électricité</t>
  </si>
  <si>
    <t>Cokeries/fabriques d'agglomérés&amp;briquettes</t>
  </si>
  <si>
    <t>Usines à gaz</t>
  </si>
  <si>
    <t>Raffineries de pétrole</t>
  </si>
  <si>
    <t>Industrie pétochimiques</t>
  </si>
  <si>
    <t>Unités de production de charbon de bois</t>
  </si>
  <si>
    <t>Non spécifié (transformation)</t>
  </si>
  <si>
    <t>Consommation Secteur énergie</t>
  </si>
  <si>
    <t>Pertes de distribution</t>
  </si>
  <si>
    <t>Consommation finale totale</t>
  </si>
  <si>
    <t>Total secteur industrie</t>
  </si>
  <si>
    <t xml:space="preserve">        Sidérurgie</t>
  </si>
  <si>
    <t xml:space="preserve">        Produits minéraux non métalliques</t>
  </si>
  <si>
    <t xml:space="preserve">        Industrie alimentaire et tabac</t>
  </si>
  <si>
    <t xml:space="preserve">        Construction</t>
  </si>
  <si>
    <t xml:space="preserve">        Textiles et cuir</t>
  </si>
  <si>
    <t xml:space="preserve">        Non spécifié (industrie)</t>
  </si>
  <si>
    <t>Total secteur transports</t>
  </si>
  <si>
    <t xml:space="preserve">        Aérien</t>
  </si>
  <si>
    <t xml:space="preserve">        Routier</t>
  </si>
  <si>
    <t xml:space="preserve">        Ferroviaire</t>
  </si>
  <si>
    <t xml:space="preserve">        Transport par conduites</t>
  </si>
  <si>
    <t xml:space="preserve">        Navigation intérieure</t>
  </si>
  <si>
    <t xml:space="preserve">        Non spécifié (transport)</t>
  </si>
  <si>
    <t>Total autres secteurs</t>
  </si>
  <si>
    <t xml:space="preserve">       Agriculture</t>
  </si>
  <si>
    <t xml:space="preserve">       Services marchants et publiques</t>
  </si>
  <si>
    <t xml:space="preserve">       Résidentiel</t>
  </si>
  <si>
    <t xml:space="preserve">       Non spécifié (autres)</t>
  </si>
  <si>
    <t>Utilisations non énergétiques</t>
  </si>
  <si>
    <t>Electricité produite (GWh)</t>
  </si>
  <si>
    <t>Electricité produites par les centrales publiques (Gwh)</t>
  </si>
  <si>
    <t>Electricité produites par les autoproducteurs (Gwh)</t>
  </si>
  <si>
    <t xml:space="preserve">Bois de feu </t>
  </si>
  <si>
    <t xml:space="preserve">Alcool </t>
  </si>
  <si>
    <t xml:space="preserve">Essence </t>
  </si>
  <si>
    <t xml:space="preserve">Carburéacteur </t>
  </si>
  <si>
    <t>Approvisionnements totaux en énergie primaire</t>
  </si>
  <si>
    <t>Pétrole brut</t>
  </si>
  <si>
    <t>Biomasse</t>
  </si>
  <si>
    <t>Electricité</t>
  </si>
  <si>
    <t>Total</t>
  </si>
  <si>
    <t xml:space="preserve">        Industrie chimiques et pétochimiques</t>
  </si>
  <si>
    <t>ANNEXE : Coefficients moyen de conversion et densité</t>
  </si>
  <si>
    <t>Produits</t>
  </si>
  <si>
    <t>Unités</t>
  </si>
  <si>
    <t>Valeur en tep</t>
  </si>
  <si>
    <t>Produit</t>
  </si>
  <si>
    <r>
      <t>Densité (kg/m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)</t>
    </r>
  </si>
  <si>
    <t>GWh</t>
  </si>
  <si>
    <t>GPL</t>
  </si>
  <si>
    <t>t</t>
  </si>
  <si>
    <t>Naphta</t>
  </si>
  <si>
    <t>Charbon minéral</t>
  </si>
  <si>
    <t>Carburéacteur type kérosène</t>
  </si>
  <si>
    <t>Pétrole lampant</t>
  </si>
  <si>
    <t>Gasoil/Diesel</t>
  </si>
  <si>
    <t>Fuel Oil</t>
  </si>
  <si>
    <t>Diesel &amp; Gasoil</t>
  </si>
  <si>
    <t>Autres produits pétroliers</t>
  </si>
  <si>
    <t>Gaz naturel</t>
  </si>
  <si>
    <t>1000 m3</t>
  </si>
  <si>
    <t>Charbon de bois</t>
  </si>
  <si>
    <t>Déchets végétaux</t>
  </si>
  <si>
    <t>m3</t>
  </si>
  <si>
    <t>Jus de canne</t>
  </si>
  <si>
    <t>Gaz Naturel (1000m3)</t>
  </si>
  <si>
    <t>Electricité thermique (GWh)</t>
  </si>
  <si>
    <t xml:space="preserve">Gaz Naturel </t>
  </si>
  <si>
    <t xml:space="preserve">Pétrole brut </t>
  </si>
  <si>
    <t xml:space="preserve">Total Electricité </t>
  </si>
  <si>
    <t xml:space="preserve">Electricité </t>
  </si>
  <si>
    <t>Bois de feu</t>
  </si>
  <si>
    <t xml:space="preserve">Charbon de bois </t>
  </si>
  <si>
    <t xml:space="preserve">Résidus agricoles ou déchéts </t>
  </si>
  <si>
    <t xml:space="preserve">GPL </t>
  </si>
  <si>
    <t xml:space="preserve">Fioul </t>
  </si>
  <si>
    <t xml:space="preserve">Charbon 
minéral </t>
  </si>
  <si>
    <t xml:space="preserve">Pétrole 
Lampant </t>
  </si>
  <si>
    <t xml:space="preserve">Diesel 
&amp; 
Gasoil </t>
  </si>
  <si>
    <t xml:space="preserve">Autres 
produits 
pétroliers </t>
  </si>
  <si>
    <t xml:space="preserve">Hydro
électricité </t>
  </si>
  <si>
    <t xml:space="preserve">Gaz 
Naturel </t>
  </si>
  <si>
    <t>Produits 
Pétroliers</t>
  </si>
  <si>
    <t>Année: 2006 Bilan agrégé (tep)</t>
  </si>
  <si>
    <t>Année: 2006 (Unités Physiques)</t>
  </si>
  <si>
    <t>Année: 2006 (tep)</t>
  </si>
  <si>
    <t>~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</si>
</sst>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"/>
    <numFmt numFmtId="166" formatCode="_-* #,##0.0\ _€_-;\-* #,##0.0\ _€_-;_-* &quot;-&quot;??\ _€_-;_-@_-"/>
    <numFmt numFmtId="167" formatCode="_-* #,##0\ _€_-;\-* #,##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167" fontId="7" fillId="34" borderId="26" xfId="42" applyNumberFormat="1" applyFont="1" applyFill="1" applyBorder="1" applyAlignment="1">
      <alignment/>
    </xf>
    <xf numFmtId="167" fontId="7" fillId="0" borderId="26" xfId="42" applyNumberFormat="1" applyFont="1" applyBorder="1" applyAlignment="1">
      <alignment/>
    </xf>
    <xf numFmtId="167" fontId="7" fillId="0" borderId="0" xfId="42" applyNumberFormat="1" applyFont="1" applyAlignment="1">
      <alignment/>
    </xf>
    <xf numFmtId="167" fontId="7" fillId="0" borderId="0" xfId="42" applyNumberFormat="1" applyFont="1" applyAlignment="1">
      <alignment horizontal="center" vertical="center" wrapText="1"/>
    </xf>
    <xf numFmtId="167" fontId="2" fillId="0" borderId="26" xfId="42" applyNumberFormat="1" applyFont="1" applyBorder="1" applyAlignment="1">
      <alignment/>
    </xf>
    <xf numFmtId="167" fontId="2" fillId="0" borderId="0" xfId="42" applyNumberFormat="1" applyFont="1" applyAlignment="1">
      <alignment/>
    </xf>
    <xf numFmtId="167" fontId="8" fillId="0" borderId="26" xfId="42" applyNumberFormat="1" applyFont="1" applyBorder="1" applyAlignment="1">
      <alignment/>
    </xf>
    <xf numFmtId="167" fontId="8" fillId="0" borderId="0" xfId="42" applyNumberFormat="1" applyFont="1" applyAlignment="1">
      <alignment/>
    </xf>
    <xf numFmtId="166" fontId="7" fillId="0" borderId="26" xfId="42" applyNumberFormat="1" applyFont="1" applyBorder="1" applyAlignment="1">
      <alignment/>
    </xf>
    <xf numFmtId="167" fontId="9" fillId="35" borderId="26" xfId="42" applyNumberFormat="1" applyFont="1" applyFill="1" applyBorder="1" applyAlignment="1">
      <alignment horizontal="center" vertical="center" wrapText="1"/>
    </xf>
    <xf numFmtId="167" fontId="9" fillId="36" borderId="26" xfId="42" applyNumberFormat="1" applyFont="1" applyFill="1" applyBorder="1" applyAlignment="1">
      <alignment horizontal="center" vertical="center" wrapText="1"/>
    </xf>
    <xf numFmtId="167" fontId="9" fillId="37" borderId="26" xfId="42" applyNumberFormat="1" applyFont="1" applyFill="1" applyBorder="1" applyAlignment="1">
      <alignment horizontal="center" vertical="center" wrapText="1"/>
    </xf>
    <xf numFmtId="167" fontId="9" fillId="38" borderId="26" xfId="42" applyNumberFormat="1" applyFont="1" applyFill="1" applyBorder="1" applyAlignment="1">
      <alignment horizontal="center" vertical="center" wrapText="1"/>
    </xf>
    <xf numFmtId="167" fontId="9" fillId="39" borderId="26" xfId="42" applyNumberFormat="1" applyFont="1" applyFill="1" applyBorder="1" applyAlignment="1">
      <alignment horizontal="center" vertical="center" wrapText="1"/>
    </xf>
    <xf numFmtId="167" fontId="9" fillId="40" borderId="26" xfId="42" applyNumberFormat="1" applyFont="1" applyFill="1" applyBorder="1" applyAlignment="1">
      <alignment horizontal="center" vertical="center" wrapText="1"/>
    </xf>
    <xf numFmtId="167" fontId="9" fillId="41" borderId="26" xfId="42" applyNumberFormat="1" applyFont="1" applyFill="1" applyBorder="1" applyAlignment="1">
      <alignment horizontal="center" vertical="center"/>
    </xf>
    <xf numFmtId="167" fontId="2" fillId="42" borderId="26" xfId="42" applyNumberFormat="1" applyFont="1" applyFill="1" applyBorder="1" applyAlignment="1">
      <alignment horizontal="center" vertical="center" wrapText="1"/>
    </xf>
    <xf numFmtId="167" fontId="2" fillId="43" borderId="26" xfId="42" applyNumberFormat="1" applyFont="1" applyFill="1" applyBorder="1" applyAlignment="1">
      <alignment horizontal="center" vertical="center"/>
    </xf>
    <xf numFmtId="167" fontId="2" fillId="43" borderId="26" xfId="42" applyNumberFormat="1" applyFont="1" applyFill="1" applyBorder="1" applyAlignment="1">
      <alignment horizontal="center" vertical="center" wrapText="1"/>
    </xf>
    <xf numFmtId="167" fontId="2" fillId="44" borderId="26" xfId="42" applyNumberFormat="1" applyFont="1" applyFill="1" applyBorder="1" applyAlignment="1">
      <alignment horizontal="center" vertical="center"/>
    </xf>
    <xf numFmtId="167" fontId="2" fillId="44" borderId="26" xfId="42" applyNumberFormat="1" applyFont="1" applyFill="1" applyBorder="1" applyAlignment="1">
      <alignment horizontal="center" vertical="center" wrapText="1"/>
    </xf>
    <xf numFmtId="167" fontId="9" fillId="45" borderId="26" xfId="42" applyNumberFormat="1" applyFont="1" applyFill="1" applyBorder="1" applyAlignment="1">
      <alignment horizontal="center" vertical="center"/>
    </xf>
    <xf numFmtId="167" fontId="9" fillId="43" borderId="26" xfId="42" applyNumberFormat="1" applyFont="1" applyFill="1" applyBorder="1" applyAlignment="1">
      <alignment horizontal="center" vertical="center"/>
    </xf>
    <xf numFmtId="167" fontId="9" fillId="44" borderId="26" xfId="42" applyNumberFormat="1" applyFont="1" applyFill="1" applyBorder="1" applyAlignment="1">
      <alignment horizontal="center" vertical="center"/>
    </xf>
    <xf numFmtId="167" fontId="9" fillId="0" borderId="27" xfId="42" applyNumberFormat="1" applyFont="1" applyBorder="1" applyAlignment="1">
      <alignment horizontal="center" vertical="center" wrapText="1"/>
    </xf>
    <xf numFmtId="167" fontId="9" fillId="42" borderId="26" xfId="42" applyNumberFormat="1" applyFont="1" applyFill="1" applyBorder="1" applyAlignment="1">
      <alignment horizontal="center" vertical="center" wrapText="1"/>
    </xf>
    <xf numFmtId="167" fontId="9" fillId="43" borderId="26" xfId="42" applyNumberFormat="1" applyFont="1" applyFill="1" applyBorder="1" applyAlignment="1">
      <alignment horizontal="center" vertical="center" wrapText="1"/>
    </xf>
    <xf numFmtId="167" fontId="9" fillId="44" borderId="26" xfId="42" applyNumberFormat="1" applyFont="1" applyFill="1" applyBorder="1" applyAlignment="1">
      <alignment horizontal="center" vertical="center" wrapText="1"/>
    </xf>
    <xf numFmtId="165" fontId="7" fillId="41" borderId="26" xfId="42" applyNumberFormat="1" applyFont="1" applyFill="1" applyBorder="1" applyAlignment="1">
      <alignment horizontal="left"/>
    </xf>
    <xf numFmtId="165" fontId="2" fillId="41" borderId="26" xfId="42" applyNumberFormat="1" applyFont="1" applyFill="1" applyBorder="1" applyAlignment="1">
      <alignment horizontal="left"/>
    </xf>
    <xf numFmtId="165" fontId="8" fillId="41" borderId="26" xfId="42" applyNumberFormat="1" applyFont="1" applyFill="1" applyBorder="1" applyAlignment="1">
      <alignment horizontal="left"/>
    </xf>
    <xf numFmtId="3" fontId="7" fillId="45" borderId="26" xfId="42" applyNumberFormat="1" applyFont="1" applyFill="1" applyBorder="1" applyAlignment="1">
      <alignment horizontal="center"/>
    </xf>
    <xf numFmtId="3" fontId="7" fillId="41" borderId="26" xfId="42" applyNumberFormat="1" applyFont="1" applyFill="1" applyBorder="1" applyAlignment="1">
      <alignment horizontal="center"/>
    </xf>
    <xf numFmtId="3" fontId="7" fillId="42" borderId="26" xfId="42" applyNumberFormat="1" applyFont="1" applyFill="1" applyBorder="1" applyAlignment="1">
      <alignment horizontal="center"/>
    </xf>
    <xf numFmtId="3" fontId="7" fillId="43" borderId="26" xfId="42" applyNumberFormat="1" applyFont="1" applyFill="1" applyBorder="1" applyAlignment="1">
      <alignment horizontal="center"/>
    </xf>
    <xf numFmtId="3" fontId="7" fillId="44" borderId="26" xfId="42" applyNumberFormat="1" applyFont="1" applyFill="1" applyBorder="1" applyAlignment="1">
      <alignment horizontal="center"/>
    </xf>
    <xf numFmtId="3" fontId="11" fillId="46" borderId="26" xfId="42" applyNumberFormat="1" applyFont="1" applyFill="1" applyBorder="1" applyAlignment="1">
      <alignment horizontal="center"/>
    </xf>
    <xf numFmtId="3" fontId="7" fillId="44" borderId="26" xfId="42" applyNumberFormat="1" applyFont="1" applyFill="1" applyBorder="1" applyAlignment="1" applyProtection="1">
      <alignment horizontal="center"/>
      <protection/>
    </xf>
    <xf numFmtId="3" fontId="12" fillId="41" borderId="26" xfId="42" applyNumberFormat="1" applyFont="1" applyFill="1" applyBorder="1" applyAlignment="1">
      <alignment horizontal="center"/>
    </xf>
    <xf numFmtId="167" fontId="7" fillId="41" borderId="26" xfId="42" applyNumberFormat="1" applyFont="1" applyFill="1" applyBorder="1" applyAlignment="1">
      <alignment/>
    </xf>
    <xf numFmtId="3" fontId="10" fillId="37" borderId="26" xfId="42" applyNumberFormat="1" applyFont="1" applyFill="1" applyBorder="1" applyAlignment="1">
      <alignment horizontal="center" vertical="center" wrapText="1"/>
    </xf>
    <xf numFmtId="3" fontId="7" fillId="0" borderId="27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75" zoomScaleNormal="75" zoomScalePageLayoutView="0" workbookViewId="0" topLeftCell="A1">
      <pane xSplit="1" ySplit="2" topLeftCell="M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21" sqref="Q21"/>
    </sheetView>
  </sheetViews>
  <sheetFormatPr defaultColWidth="15.7109375" defaultRowHeight="15" customHeight="1"/>
  <cols>
    <col min="1" max="1" width="57.28125" style="22" bestFit="1" customWidth="1"/>
    <col min="2" max="2" width="17.7109375" style="22" bestFit="1" customWidth="1"/>
    <col min="3" max="3" width="21.140625" style="22" bestFit="1" customWidth="1"/>
    <col min="4" max="4" width="18.421875" style="22" bestFit="1" customWidth="1"/>
    <col min="5" max="5" width="16.00390625" style="22" bestFit="1" customWidth="1"/>
    <col min="6" max="6" width="16.8515625" style="22" bestFit="1" customWidth="1"/>
    <col min="7" max="7" width="18.57421875" style="22" bestFit="1" customWidth="1"/>
    <col min="8" max="8" width="10.28125" style="22" bestFit="1" customWidth="1"/>
    <col min="9" max="9" width="15.00390625" style="22" bestFit="1" customWidth="1"/>
    <col min="10" max="10" width="15.7109375" style="22" customWidth="1"/>
    <col min="11" max="11" width="17.140625" style="22" bestFit="1" customWidth="1"/>
    <col min="12" max="12" width="16.00390625" style="22" bestFit="1" customWidth="1"/>
    <col min="13" max="13" width="15.7109375" style="22" customWidth="1"/>
    <col min="14" max="14" width="14.28125" style="22" bestFit="1" customWidth="1"/>
    <col min="15" max="15" width="20.140625" style="22" customWidth="1"/>
    <col min="16" max="16" width="19.57421875" style="22" bestFit="1" customWidth="1"/>
    <col min="17" max="17" width="19.140625" style="22" bestFit="1" customWidth="1"/>
    <col min="18" max="16384" width="15.7109375" style="22" customWidth="1"/>
  </cols>
  <sheetData>
    <row r="1" spans="1:17" ht="1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23" customFormat="1" ht="57.75" customHeight="1">
      <c r="A2" s="29" t="s">
        <v>109</v>
      </c>
      <c r="B2" s="30" t="s">
        <v>0</v>
      </c>
      <c r="C2" s="30" t="s">
        <v>1</v>
      </c>
      <c r="D2" s="30" t="s">
        <v>2</v>
      </c>
      <c r="E2" s="31" t="s">
        <v>90</v>
      </c>
      <c r="F2" s="32" t="s">
        <v>11</v>
      </c>
      <c r="G2" s="33" t="s">
        <v>3</v>
      </c>
      <c r="H2" s="33" t="s">
        <v>4</v>
      </c>
      <c r="I2" s="33" t="s">
        <v>5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4" t="s">
        <v>91</v>
      </c>
      <c r="P2" s="34" t="s">
        <v>12</v>
      </c>
      <c r="Q2" s="34" t="s">
        <v>13</v>
      </c>
    </row>
    <row r="3" spans="1:17" ht="15" customHeight="1">
      <c r="A3" s="21" t="s">
        <v>14</v>
      </c>
      <c r="B3" s="51">
        <v>902619</v>
      </c>
      <c r="C3" s="51">
        <v>30548</v>
      </c>
      <c r="D3" s="51"/>
      <c r="E3" s="52"/>
      <c r="F3" s="53"/>
      <c r="G3" s="54"/>
      <c r="H3" s="54"/>
      <c r="I3" s="54"/>
      <c r="J3" s="54"/>
      <c r="K3" s="54"/>
      <c r="L3" s="54"/>
      <c r="M3" s="54"/>
      <c r="N3" s="54"/>
      <c r="O3" s="55">
        <f>O12+O13</f>
        <v>0</v>
      </c>
      <c r="P3" s="55"/>
      <c r="Q3" s="55">
        <v>55</v>
      </c>
    </row>
    <row r="4" spans="1:17" ht="15" customHeight="1">
      <c r="A4" s="21" t="s">
        <v>15</v>
      </c>
      <c r="B4" s="51"/>
      <c r="C4" s="51"/>
      <c r="D4" s="51"/>
      <c r="E4" s="52"/>
      <c r="F4" s="53"/>
      <c r="G4" s="54"/>
      <c r="H4" s="54">
        <v>510.5</v>
      </c>
      <c r="I4" s="54">
        <v>4893.4</v>
      </c>
      <c r="J4" s="54">
        <v>1019.7</v>
      </c>
      <c r="K4" s="54">
        <v>10.53</v>
      </c>
      <c r="L4" s="54">
        <v>40530</v>
      </c>
      <c r="M4" s="54"/>
      <c r="N4" s="54">
        <v>3800.6</v>
      </c>
      <c r="O4" s="55"/>
      <c r="P4" s="55"/>
      <c r="Q4" s="55"/>
    </row>
    <row r="5" spans="1:17" ht="15" customHeight="1">
      <c r="A5" s="21" t="s">
        <v>16</v>
      </c>
      <c r="B5" s="51"/>
      <c r="C5" s="51"/>
      <c r="D5" s="51"/>
      <c r="E5" s="52"/>
      <c r="F5" s="53"/>
      <c r="G5" s="54"/>
      <c r="H5" s="54"/>
      <c r="I5" s="54"/>
      <c r="J5" s="54"/>
      <c r="K5" s="54"/>
      <c r="L5" s="54"/>
      <c r="M5" s="54"/>
      <c r="N5" s="54"/>
      <c r="O5" s="55"/>
      <c r="P5" s="55"/>
      <c r="Q5" s="55"/>
    </row>
    <row r="6" spans="1:17" ht="15" customHeight="1">
      <c r="A6" s="21" t="s">
        <v>17</v>
      </c>
      <c r="B6" s="51"/>
      <c r="C6" s="51"/>
      <c r="D6" s="51"/>
      <c r="E6" s="52"/>
      <c r="F6" s="53"/>
      <c r="G6" s="54"/>
      <c r="H6" s="54"/>
      <c r="I6" s="54"/>
      <c r="J6" s="54"/>
      <c r="K6" s="54"/>
      <c r="L6" s="54"/>
      <c r="M6" s="54"/>
      <c r="N6" s="54"/>
      <c r="O6" s="55"/>
      <c r="P6" s="55"/>
      <c r="Q6" s="55"/>
    </row>
    <row r="7" spans="1:17" ht="15" customHeight="1">
      <c r="A7" s="21" t="s">
        <v>18</v>
      </c>
      <c r="B7" s="51"/>
      <c r="C7" s="51"/>
      <c r="D7" s="51"/>
      <c r="E7" s="52"/>
      <c r="F7" s="53"/>
      <c r="G7" s="54"/>
      <c r="H7" s="54"/>
      <c r="I7" s="54"/>
      <c r="J7" s="54"/>
      <c r="K7" s="54"/>
      <c r="L7" s="54"/>
      <c r="M7" s="54"/>
      <c r="N7" s="54"/>
      <c r="O7" s="55"/>
      <c r="P7" s="55"/>
      <c r="Q7" s="55"/>
    </row>
    <row r="8" spans="1:17" s="25" customFormat="1" ht="15" customHeight="1">
      <c r="A8" s="24" t="s">
        <v>19</v>
      </c>
      <c r="B8" s="52">
        <f>B3</f>
        <v>902619</v>
      </c>
      <c r="C8" s="52">
        <f>C3+C4+C5+C6+C7</f>
        <v>30548</v>
      </c>
      <c r="D8" s="52"/>
      <c r="E8" s="52"/>
      <c r="F8" s="52"/>
      <c r="G8" s="52"/>
      <c r="H8" s="52">
        <f>H4</f>
        <v>510.5</v>
      </c>
      <c r="I8" s="52">
        <f>I4</f>
        <v>4893.4</v>
      </c>
      <c r="J8" s="52">
        <f>J4</f>
        <v>1019.7</v>
      </c>
      <c r="K8" s="52">
        <f>K4</f>
        <v>10.53</v>
      </c>
      <c r="L8" s="52">
        <f>L4</f>
        <v>40530</v>
      </c>
      <c r="M8" s="52"/>
      <c r="N8" s="52">
        <f>N4</f>
        <v>3800.6</v>
      </c>
      <c r="O8" s="52"/>
      <c r="P8" s="52">
        <f>P3+P4+P5+P6+P7</f>
        <v>0</v>
      </c>
      <c r="Q8" s="52">
        <f>Q3</f>
        <v>55</v>
      </c>
    </row>
    <row r="9" spans="1:17" ht="15" customHeight="1">
      <c r="A9" s="21" t="s">
        <v>20</v>
      </c>
      <c r="B9" s="51"/>
      <c r="C9" s="51"/>
      <c r="D9" s="51"/>
      <c r="E9" s="52"/>
      <c r="F9" s="53"/>
      <c r="G9" s="54"/>
      <c r="H9" s="54"/>
      <c r="I9" s="54"/>
      <c r="J9" s="54"/>
      <c r="K9" s="54"/>
      <c r="L9" s="54"/>
      <c r="M9" s="54"/>
      <c r="N9" s="54"/>
      <c r="O9" s="55"/>
      <c r="P9" s="55"/>
      <c r="Q9" s="55"/>
    </row>
    <row r="10" spans="1:17" ht="15" customHeight="1">
      <c r="A10" s="21" t="s">
        <v>21</v>
      </c>
      <c r="B10" s="56">
        <f aca="true" t="shared" si="0" ref="B10:P10">B22+B21+B20+B11-(B8+B9)</f>
        <v>0</v>
      </c>
      <c r="C10" s="56">
        <f t="shared" si="0"/>
        <v>0</v>
      </c>
      <c r="D10" s="56">
        <f t="shared" si="0"/>
        <v>0</v>
      </c>
      <c r="E10" s="56">
        <f t="shared" si="0"/>
        <v>0</v>
      </c>
      <c r="F10" s="56">
        <f t="shared" si="0"/>
        <v>0</v>
      </c>
      <c r="G10" s="56">
        <f t="shared" si="0"/>
        <v>0</v>
      </c>
      <c r="H10" s="56">
        <f t="shared" si="0"/>
        <v>0</v>
      </c>
      <c r="I10" s="56">
        <f t="shared" si="0"/>
        <v>0</v>
      </c>
      <c r="J10" s="56">
        <f t="shared" si="0"/>
        <v>0</v>
      </c>
      <c r="K10" s="56">
        <f t="shared" si="0"/>
        <v>0</v>
      </c>
      <c r="L10" s="56">
        <f>L22+L21+L20+L11-(L8+L9)</f>
        <v>-0.8000000000029104</v>
      </c>
      <c r="M10" s="56">
        <f t="shared" si="0"/>
        <v>0</v>
      </c>
      <c r="N10" s="56">
        <f t="shared" si="0"/>
        <v>0</v>
      </c>
      <c r="O10" s="56">
        <f t="shared" si="0"/>
        <v>0</v>
      </c>
      <c r="P10" s="56">
        <f t="shared" si="0"/>
        <v>0</v>
      </c>
      <c r="Q10" s="56">
        <f>Q22+Q21+Q20+Q11-(Q8+Q9)</f>
        <v>0.09140000000000015</v>
      </c>
    </row>
    <row r="11" spans="1:17" s="25" customFormat="1" ht="15" customHeight="1">
      <c r="A11" s="24" t="s">
        <v>22</v>
      </c>
      <c r="B11" s="51">
        <v>190925</v>
      </c>
      <c r="C11" s="52"/>
      <c r="D11" s="52"/>
      <c r="E11" s="52"/>
      <c r="F11" s="52"/>
      <c r="G11" s="52"/>
      <c r="H11" s="52"/>
      <c r="I11" s="52"/>
      <c r="J11" s="52"/>
      <c r="K11" s="52"/>
      <c r="L11" s="52">
        <f>L12+L13</f>
        <v>12564.3</v>
      </c>
      <c r="M11" s="52"/>
      <c r="N11" s="52"/>
      <c r="O11" s="52"/>
      <c r="P11" s="52">
        <f>SUM(P12:P19)</f>
        <v>0</v>
      </c>
      <c r="Q11" s="52">
        <f>SUM(Q12:Q19)</f>
        <v>0</v>
      </c>
    </row>
    <row r="12" spans="1:17" ht="15" customHeight="1">
      <c r="A12" s="21" t="s">
        <v>23</v>
      </c>
      <c r="B12" s="51"/>
      <c r="C12" s="51"/>
      <c r="D12" s="51"/>
      <c r="E12" s="52"/>
      <c r="F12" s="53"/>
      <c r="G12" s="54"/>
      <c r="H12" s="54"/>
      <c r="I12" s="54"/>
      <c r="J12" s="54"/>
      <c r="K12" s="54"/>
      <c r="L12" s="54">
        <v>4837</v>
      </c>
      <c r="M12" s="54"/>
      <c r="N12" s="54"/>
      <c r="O12" s="57"/>
      <c r="P12" s="55">
        <v>0</v>
      </c>
      <c r="Q12" s="55"/>
    </row>
    <row r="13" spans="1:17" ht="15" customHeight="1">
      <c r="A13" s="21" t="s">
        <v>24</v>
      </c>
      <c r="B13" s="51"/>
      <c r="C13" s="51"/>
      <c r="D13" s="51"/>
      <c r="E13" s="52"/>
      <c r="F13" s="53"/>
      <c r="G13" s="54"/>
      <c r="H13" s="54"/>
      <c r="I13" s="54"/>
      <c r="J13" s="54"/>
      <c r="K13" s="54"/>
      <c r="L13" s="54">
        <v>7727.3</v>
      </c>
      <c r="M13" s="54"/>
      <c r="N13" s="54"/>
      <c r="O13" s="55"/>
      <c r="P13" s="55">
        <v>0</v>
      </c>
      <c r="Q13" s="55"/>
    </row>
    <row r="14" spans="1:17" ht="15" customHeight="1">
      <c r="A14" s="21" t="s">
        <v>25</v>
      </c>
      <c r="B14" s="51"/>
      <c r="C14" s="51"/>
      <c r="D14" s="51"/>
      <c r="E14" s="52"/>
      <c r="F14" s="53"/>
      <c r="G14" s="54"/>
      <c r="H14" s="54"/>
      <c r="I14" s="54"/>
      <c r="J14" s="54"/>
      <c r="K14" s="54"/>
      <c r="L14" s="54"/>
      <c r="M14" s="54"/>
      <c r="N14" s="54"/>
      <c r="O14" s="55"/>
      <c r="P14" s="55"/>
      <c r="Q14" s="55"/>
    </row>
    <row r="15" spans="1:17" ht="15" customHeight="1">
      <c r="A15" s="21" t="s">
        <v>26</v>
      </c>
      <c r="B15" s="51"/>
      <c r="C15" s="51"/>
      <c r="D15" s="51"/>
      <c r="E15" s="52"/>
      <c r="F15" s="53"/>
      <c r="G15" s="54"/>
      <c r="H15" s="54"/>
      <c r="I15" s="54"/>
      <c r="J15" s="54"/>
      <c r="K15" s="54"/>
      <c r="L15" s="54"/>
      <c r="M15" s="54"/>
      <c r="N15" s="54"/>
      <c r="O15" s="55"/>
      <c r="P15" s="55"/>
      <c r="Q15" s="55"/>
    </row>
    <row r="16" spans="1:17" ht="15" customHeight="1">
      <c r="A16" s="21" t="s">
        <v>27</v>
      </c>
      <c r="B16" s="51"/>
      <c r="C16" s="51"/>
      <c r="D16" s="51"/>
      <c r="E16" s="52"/>
      <c r="F16" s="53"/>
      <c r="G16" s="54"/>
      <c r="H16" s="54"/>
      <c r="I16" s="54"/>
      <c r="J16" s="54"/>
      <c r="K16" s="54"/>
      <c r="L16" s="54"/>
      <c r="M16" s="54"/>
      <c r="N16" s="54"/>
      <c r="O16" s="57"/>
      <c r="P16" s="55"/>
      <c r="Q16" s="55"/>
    </row>
    <row r="17" spans="1:17" ht="15" customHeight="1">
      <c r="A17" s="21" t="s">
        <v>28</v>
      </c>
      <c r="B17" s="51"/>
      <c r="C17" s="51"/>
      <c r="D17" s="51"/>
      <c r="E17" s="52"/>
      <c r="F17" s="53"/>
      <c r="G17" s="54"/>
      <c r="H17" s="54"/>
      <c r="I17" s="54"/>
      <c r="J17" s="54"/>
      <c r="K17" s="54"/>
      <c r="L17" s="54"/>
      <c r="M17" s="54"/>
      <c r="N17" s="54"/>
      <c r="O17" s="57"/>
      <c r="P17" s="55"/>
      <c r="Q17" s="55"/>
    </row>
    <row r="18" spans="1:17" ht="15" customHeight="1">
      <c r="A18" s="21" t="s">
        <v>29</v>
      </c>
      <c r="B18" s="51">
        <v>190925</v>
      </c>
      <c r="C18" s="51"/>
      <c r="D18" s="51"/>
      <c r="E18" s="52"/>
      <c r="F18" s="53"/>
      <c r="G18" s="54"/>
      <c r="H18" s="54"/>
      <c r="I18" s="54"/>
      <c r="J18" s="54"/>
      <c r="K18" s="54"/>
      <c r="L18" s="54"/>
      <c r="M18" s="54"/>
      <c r="N18" s="54"/>
      <c r="O18" s="57"/>
      <c r="P18" s="55"/>
      <c r="Q18" s="55"/>
    </row>
    <row r="19" spans="1:17" ht="15" customHeight="1">
      <c r="A19" s="21" t="s">
        <v>111</v>
      </c>
      <c r="B19" s="51"/>
      <c r="C19" s="51"/>
      <c r="D19" s="51"/>
      <c r="E19" s="52"/>
      <c r="F19" s="53"/>
      <c r="G19" s="54"/>
      <c r="H19" s="54"/>
      <c r="I19" s="54"/>
      <c r="J19" s="54"/>
      <c r="K19" s="54"/>
      <c r="L19" s="54"/>
      <c r="M19" s="54"/>
      <c r="N19" s="54"/>
      <c r="O19" s="57"/>
      <c r="P19" s="55"/>
      <c r="Q19" s="55"/>
    </row>
    <row r="20" spans="1:17" s="25" customFormat="1" ht="15" customHeight="1">
      <c r="A20" s="24" t="s">
        <v>31</v>
      </c>
      <c r="B20" s="51"/>
      <c r="C20" s="51"/>
      <c r="D20" s="51"/>
      <c r="E20" s="52"/>
      <c r="F20" s="53"/>
      <c r="G20" s="54"/>
      <c r="H20" s="54"/>
      <c r="I20" s="54"/>
      <c r="J20" s="54"/>
      <c r="K20" s="54"/>
      <c r="L20" s="54"/>
      <c r="M20" s="54"/>
      <c r="N20" s="54"/>
      <c r="O20" s="55"/>
      <c r="P20" s="55"/>
      <c r="Q20" s="55">
        <v>0.0914</v>
      </c>
    </row>
    <row r="21" spans="1:17" s="25" customFormat="1" ht="15" customHeight="1">
      <c r="A21" s="24" t="s">
        <v>32</v>
      </c>
      <c r="B21" s="51"/>
      <c r="C21" s="51"/>
      <c r="D21" s="51"/>
      <c r="E21" s="52"/>
      <c r="F21" s="53"/>
      <c r="G21" s="54"/>
      <c r="H21" s="54"/>
      <c r="I21" s="54"/>
      <c r="J21" s="54"/>
      <c r="K21" s="54"/>
      <c r="L21" s="54"/>
      <c r="M21" s="54"/>
      <c r="N21" s="54"/>
      <c r="O21" s="55">
        <f>O12*15/100+O13*15/100</f>
        <v>0</v>
      </c>
      <c r="P21" s="55">
        <f>P12*15/100+P13*15/100</f>
        <v>0</v>
      </c>
      <c r="Q21" s="55">
        <f>Q12*15/100+Q13*15/100</f>
        <v>0</v>
      </c>
    </row>
    <row r="22" spans="1:17" s="25" customFormat="1" ht="15" customHeight="1">
      <c r="A22" s="24" t="s">
        <v>33</v>
      </c>
      <c r="B22" s="52">
        <f>B23+B31+B38+B43</f>
        <v>711694</v>
      </c>
      <c r="C22" s="52">
        <f>C23+C31+C38+C43</f>
        <v>30548</v>
      </c>
      <c r="D22" s="52">
        <f aca="true" t="shared" si="1" ref="D22:P22">D23+D31+D38+D43</f>
        <v>0</v>
      </c>
      <c r="E22" s="52">
        <f t="shared" si="1"/>
        <v>0</v>
      </c>
      <c r="F22" s="52">
        <f t="shared" si="1"/>
        <v>0</v>
      </c>
      <c r="G22" s="52">
        <f t="shared" si="1"/>
        <v>0</v>
      </c>
      <c r="H22" s="52">
        <f t="shared" si="1"/>
        <v>510.5</v>
      </c>
      <c r="I22" s="52">
        <f t="shared" si="1"/>
        <v>4893.4</v>
      </c>
      <c r="J22" s="52">
        <f t="shared" si="1"/>
        <v>1019.7</v>
      </c>
      <c r="K22" s="52">
        <f t="shared" si="1"/>
        <v>10.53</v>
      </c>
      <c r="L22" s="52">
        <f t="shared" si="1"/>
        <v>27964.9</v>
      </c>
      <c r="M22" s="52">
        <f t="shared" si="1"/>
        <v>0</v>
      </c>
      <c r="N22" s="52">
        <f>N23+N31+N38+N43</f>
        <v>3800.6</v>
      </c>
      <c r="O22" s="52">
        <f t="shared" si="1"/>
        <v>0</v>
      </c>
      <c r="P22" s="52">
        <f t="shared" si="1"/>
        <v>0</v>
      </c>
      <c r="Q22" s="58">
        <v>55</v>
      </c>
    </row>
    <row r="23" spans="1:17" s="27" customFormat="1" ht="15" customHeight="1">
      <c r="A23" s="26" t="s">
        <v>34</v>
      </c>
      <c r="B23" s="58">
        <f>B30</f>
        <v>142338.8</v>
      </c>
      <c r="C23" s="58"/>
      <c r="D23" s="58"/>
      <c r="E23" s="58"/>
      <c r="F23" s="58"/>
      <c r="G23" s="58"/>
      <c r="H23" s="58"/>
      <c r="I23" s="58">
        <f>I30</f>
        <v>538.27</v>
      </c>
      <c r="J23" s="58"/>
      <c r="K23" s="58"/>
      <c r="L23" s="58">
        <f>L30</f>
        <v>2156</v>
      </c>
      <c r="M23" s="58"/>
      <c r="N23" s="58">
        <f>N28</f>
        <v>0</v>
      </c>
      <c r="O23" s="58"/>
      <c r="P23" s="58"/>
      <c r="Q23" s="58"/>
    </row>
    <row r="24" spans="1:17" ht="15" customHeight="1">
      <c r="A24" s="21" t="s">
        <v>35</v>
      </c>
      <c r="B24" s="51"/>
      <c r="C24" s="51"/>
      <c r="D24" s="51"/>
      <c r="E24" s="52"/>
      <c r="F24" s="53"/>
      <c r="G24" s="54"/>
      <c r="H24" s="54"/>
      <c r="I24" s="54"/>
      <c r="J24" s="54"/>
      <c r="K24" s="54"/>
      <c r="L24" s="54"/>
      <c r="M24" s="54"/>
      <c r="N24" s="54"/>
      <c r="O24" s="55"/>
      <c r="P24" s="55"/>
      <c r="Q24" s="55"/>
    </row>
    <row r="25" spans="1:17" ht="15" customHeight="1">
      <c r="A25" s="21" t="s">
        <v>66</v>
      </c>
      <c r="B25" s="51"/>
      <c r="C25" s="51"/>
      <c r="D25" s="51"/>
      <c r="E25" s="52"/>
      <c r="F25" s="53"/>
      <c r="G25" s="54"/>
      <c r="H25" s="54"/>
      <c r="I25" s="54"/>
      <c r="J25" s="54"/>
      <c r="K25" s="54"/>
      <c r="L25" s="54"/>
      <c r="M25" s="54"/>
      <c r="N25" s="54"/>
      <c r="O25" s="55"/>
      <c r="P25" s="55"/>
      <c r="Q25" s="55"/>
    </row>
    <row r="26" spans="1:17" ht="15" customHeight="1">
      <c r="A26" s="21" t="s">
        <v>36</v>
      </c>
      <c r="B26" s="51"/>
      <c r="C26" s="51"/>
      <c r="D26" s="51"/>
      <c r="E26" s="52"/>
      <c r="F26" s="53"/>
      <c r="G26" s="54"/>
      <c r="H26" s="54"/>
      <c r="I26" s="54"/>
      <c r="J26" s="54"/>
      <c r="K26" s="54"/>
      <c r="L26" s="54"/>
      <c r="M26" s="54"/>
      <c r="N26" s="54"/>
      <c r="O26" s="55"/>
      <c r="P26" s="55"/>
      <c r="Q26" s="55"/>
    </row>
    <row r="27" spans="1:17" ht="15" customHeight="1">
      <c r="A27" s="21" t="s">
        <v>37</v>
      </c>
      <c r="B27" s="51"/>
      <c r="C27" s="51"/>
      <c r="D27" s="51"/>
      <c r="E27" s="52"/>
      <c r="F27" s="53"/>
      <c r="G27" s="54"/>
      <c r="H27" s="54"/>
      <c r="I27" s="54"/>
      <c r="J27" s="54"/>
      <c r="K27" s="54"/>
      <c r="L27" s="54"/>
      <c r="M27" s="54"/>
      <c r="N27" s="54"/>
      <c r="O27" s="55"/>
      <c r="P27" s="55"/>
      <c r="Q27" s="55"/>
    </row>
    <row r="28" spans="1:17" ht="15" customHeight="1">
      <c r="A28" s="21" t="s">
        <v>38</v>
      </c>
      <c r="B28" s="51"/>
      <c r="C28" s="51"/>
      <c r="D28" s="51"/>
      <c r="E28" s="52"/>
      <c r="F28" s="53"/>
      <c r="G28" s="54"/>
      <c r="H28" s="54"/>
      <c r="I28" s="54"/>
      <c r="J28" s="54"/>
      <c r="K28" s="54"/>
      <c r="L28" s="54"/>
      <c r="M28" s="54"/>
      <c r="N28" s="54"/>
      <c r="O28" s="55"/>
      <c r="P28" s="55"/>
      <c r="Q28" s="55"/>
    </row>
    <row r="29" spans="1:17" ht="15" customHeight="1">
      <c r="A29" s="21" t="s">
        <v>39</v>
      </c>
      <c r="B29" s="51"/>
      <c r="C29" s="51"/>
      <c r="D29" s="51"/>
      <c r="E29" s="52"/>
      <c r="F29" s="53"/>
      <c r="G29" s="54"/>
      <c r="H29" s="54"/>
      <c r="I29" s="54"/>
      <c r="J29" s="54"/>
      <c r="K29" s="54"/>
      <c r="L29" s="54"/>
      <c r="M29" s="54"/>
      <c r="N29" s="54"/>
      <c r="O29" s="55"/>
      <c r="P29" s="55"/>
      <c r="Q29" s="55"/>
    </row>
    <row r="30" spans="1:17" ht="15" customHeight="1">
      <c r="A30" s="21" t="s">
        <v>40</v>
      </c>
      <c r="B30" s="51">
        <v>142338.8</v>
      </c>
      <c r="C30" s="51"/>
      <c r="D30" s="51"/>
      <c r="E30" s="52"/>
      <c r="F30" s="53"/>
      <c r="G30" s="54"/>
      <c r="H30" s="54"/>
      <c r="I30" s="54">
        <v>538.27</v>
      </c>
      <c r="J30" s="54"/>
      <c r="K30" s="54"/>
      <c r="L30" s="54">
        <v>2156</v>
      </c>
      <c r="M30" s="54"/>
      <c r="N30" s="54"/>
      <c r="O30" s="55"/>
      <c r="P30" s="55"/>
      <c r="Q30" s="55"/>
    </row>
    <row r="31" spans="1:17" s="27" customFormat="1" ht="15" customHeight="1">
      <c r="A31" s="26" t="s">
        <v>41</v>
      </c>
      <c r="B31" s="58"/>
      <c r="C31" s="58"/>
      <c r="D31" s="58"/>
      <c r="E31" s="58"/>
      <c r="F31" s="58"/>
      <c r="G31" s="58"/>
      <c r="H31" s="58"/>
      <c r="I31" s="58">
        <f>I33+I36</f>
        <v>4355.13</v>
      </c>
      <c r="J31" s="58">
        <f>J32</f>
        <v>1019.7</v>
      </c>
      <c r="K31" s="58"/>
      <c r="L31" s="58">
        <f>L33+L36+L37</f>
        <v>19048.5</v>
      </c>
      <c r="M31" s="58"/>
      <c r="N31" s="58"/>
      <c r="O31" s="58"/>
      <c r="P31" s="58"/>
      <c r="Q31" s="58"/>
    </row>
    <row r="32" spans="1:17" ht="15" customHeight="1">
      <c r="A32" s="21" t="s">
        <v>42</v>
      </c>
      <c r="B32" s="51"/>
      <c r="C32" s="51"/>
      <c r="D32" s="51"/>
      <c r="E32" s="52"/>
      <c r="F32" s="53"/>
      <c r="G32" s="54"/>
      <c r="H32" s="54"/>
      <c r="I32" s="54"/>
      <c r="J32" s="54">
        <f>J8</f>
        <v>1019.7</v>
      </c>
      <c r="K32" s="54"/>
      <c r="L32" s="54"/>
      <c r="M32" s="54"/>
      <c r="N32" s="54"/>
      <c r="O32" s="55"/>
      <c r="P32" s="55"/>
      <c r="Q32" s="55"/>
    </row>
    <row r="33" spans="1:17" ht="15" customHeight="1">
      <c r="A33" s="21" t="s">
        <v>43</v>
      </c>
      <c r="B33" s="51"/>
      <c r="C33" s="51"/>
      <c r="D33" s="51"/>
      <c r="E33" s="52"/>
      <c r="F33" s="53"/>
      <c r="G33" s="54"/>
      <c r="H33" s="54"/>
      <c r="I33" s="54">
        <v>4268.03</v>
      </c>
      <c r="J33" s="54"/>
      <c r="K33" s="54"/>
      <c r="L33" s="54">
        <v>18858</v>
      </c>
      <c r="M33" s="54"/>
      <c r="N33" s="54"/>
      <c r="O33" s="55"/>
      <c r="P33" s="55"/>
      <c r="Q33" s="55"/>
    </row>
    <row r="34" spans="1:17" ht="15" customHeight="1">
      <c r="A34" s="21" t="s">
        <v>44</v>
      </c>
      <c r="B34" s="51"/>
      <c r="C34" s="51"/>
      <c r="D34" s="51"/>
      <c r="E34" s="52"/>
      <c r="F34" s="53"/>
      <c r="G34" s="54"/>
      <c r="H34" s="54"/>
      <c r="I34" s="54"/>
      <c r="J34" s="54"/>
      <c r="K34" s="54"/>
      <c r="L34" s="54"/>
      <c r="M34" s="54"/>
      <c r="N34" s="54"/>
      <c r="O34" s="55"/>
      <c r="P34" s="55"/>
      <c r="Q34" s="55"/>
    </row>
    <row r="35" spans="1:17" ht="15" customHeight="1">
      <c r="A35" s="21" t="s">
        <v>45</v>
      </c>
      <c r="B35" s="51"/>
      <c r="C35" s="51"/>
      <c r="D35" s="51"/>
      <c r="E35" s="52"/>
      <c r="F35" s="53"/>
      <c r="G35" s="54"/>
      <c r="H35" s="54"/>
      <c r="I35" s="54"/>
      <c r="J35" s="54"/>
      <c r="K35" s="54"/>
      <c r="L35" s="54"/>
      <c r="M35" s="54"/>
      <c r="N35" s="54"/>
      <c r="O35" s="55"/>
      <c r="P35" s="55"/>
      <c r="Q35" s="55"/>
    </row>
    <row r="36" spans="1:17" ht="15" customHeight="1">
      <c r="A36" s="21" t="s">
        <v>46</v>
      </c>
      <c r="B36" s="51"/>
      <c r="C36" s="51"/>
      <c r="D36" s="51"/>
      <c r="E36" s="52"/>
      <c r="F36" s="53"/>
      <c r="G36" s="54"/>
      <c r="H36" s="54"/>
      <c r="I36" s="54">
        <v>87.1</v>
      </c>
      <c r="J36" s="54"/>
      <c r="K36" s="54"/>
      <c r="L36" s="54">
        <v>190.5</v>
      </c>
      <c r="M36" s="54"/>
      <c r="N36" s="54"/>
      <c r="O36" s="55"/>
      <c r="P36" s="55"/>
      <c r="Q36" s="55"/>
    </row>
    <row r="37" spans="1:17" ht="15" customHeight="1">
      <c r="A37" s="21" t="s">
        <v>47</v>
      </c>
      <c r="B37" s="51"/>
      <c r="C37" s="51"/>
      <c r="D37" s="51"/>
      <c r="E37" s="52"/>
      <c r="F37" s="53"/>
      <c r="G37" s="54"/>
      <c r="H37" s="54"/>
      <c r="I37" s="54"/>
      <c r="J37" s="54"/>
      <c r="K37" s="54"/>
      <c r="L37" s="54"/>
      <c r="M37" s="54"/>
      <c r="N37" s="54"/>
      <c r="O37" s="55"/>
      <c r="P37" s="55"/>
      <c r="Q37" s="55"/>
    </row>
    <row r="38" spans="1:17" s="27" customFormat="1" ht="15" customHeight="1">
      <c r="A38" s="26" t="s">
        <v>48</v>
      </c>
      <c r="B38" s="52">
        <f>B41</f>
        <v>569355.2</v>
      </c>
      <c r="C38" s="58">
        <f>C41</f>
        <v>30548</v>
      </c>
      <c r="D38" s="58"/>
      <c r="E38" s="58"/>
      <c r="F38" s="58"/>
      <c r="G38" s="58"/>
      <c r="H38" s="58">
        <f>H40+H41</f>
        <v>510.5</v>
      </c>
      <c r="I38" s="58"/>
      <c r="J38" s="52"/>
      <c r="K38" s="58">
        <f>K41</f>
        <v>10.53</v>
      </c>
      <c r="L38" s="58">
        <f>L39+L41</f>
        <v>6760.4</v>
      </c>
      <c r="M38" s="58"/>
      <c r="N38" s="58"/>
      <c r="O38" s="58"/>
      <c r="P38" s="58"/>
      <c r="Q38" s="58"/>
    </row>
    <row r="39" spans="1:17" ht="15" customHeight="1">
      <c r="A39" s="21" t="s">
        <v>49</v>
      </c>
      <c r="B39" s="51"/>
      <c r="C39" s="51"/>
      <c r="D39" s="51"/>
      <c r="E39" s="52"/>
      <c r="F39" s="53"/>
      <c r="G39" s="54"/>
      <c r="H39" s="54"/>
      <c r="I39" s="54"/>
      <c r="J39" s="54"/>
      <c r="K39" s="54"/>
      <c r="L39" s="54">
        <v>4004</v>
      </c>
      <c r="M39" s="54"/>
      <c r="N39" s="54"/>
      <c r="O39" s="55"/>
      <c r="P39" s="55"/>
      <c r="Q39" s="55"/>
    </row>
    <row r="40" spans="1:17" ht="15" customHeight="1">
      <c r="A40" s="21" t="s">
        <v>50</v>
      </c>
      <c r="B40" s="51"/>
      <c r="C40" s="51"/>
      <c r="D40" s="51"/>
      <c r="E40" s="52"/>
      <c r="F40" s="53"/>
      <c r="G40" s="54"/>
      <c r="H40" s="54">
        <v>204.2</v>
      </c>
      <c r="I40" s="54"/>
      <c r="J40" s="54"/>
      <c r="K40" s="54"/>
      <c r="L40" s="54"/>
      <c r="M40" s="54"/>
      <c r="N40" s="54"/>
      <c r="O40" s="55"/>
      <c r="P40" s="55"/>
      <c r="Q40" s="55"/>
    </row>
    <row r="41" spans="1:17" ht="15" customHeight="1">
      <c r="A41" s="21" t="s">
        <v>51</v>
      </c>
      <c r="B41" s="51">
        <v>569355.2</v>
      </c>
      <c r="C41" s="51">
        <f>C8</f>
        <v>30548</v>
      </c>
      <c r="D41" s="51"/>
      <c r="E41" s="52"/>
      <c r="F41" s="53"/>
      <c r="G41" s="54"/>
      <c r="H41" s="54">
        <v>306.3</v>
      </c>
      <c r="I41" s="54"/>
      <c r="J41" s="54"/>
      <c r="K41" s="54">
        <v>10.53</v>
      </c>
      <c r="L41" s="54">
        <v>2756.4</v>
      </c>
      <c r="M41" s="54"/>
      <c r="N41" s="54"/>
      <c r="O41" s="55"/>
      <c r="P41" s="55"/>
      <c r="Q41" s="55"/>
    </row>
    <row r="42" spans="1:17" ht="15" customHeight="1">
      <c r="A42" s="21" t="s">
        <v>52</v>
      </c>
      <c r="B42" s="51"/>
      <c r="C42" s="51"/>
      <c r="D42" s="51"/>
      <c r="E42" s="52"/>
      <c r="F42" s="53"/>
      <c r="G42" s="54"/>
      <c r="H42" s="54"/>
      <c r="I42" s="54"/>
      <c r="J42" s="54"/>
      <c r="K42" s="54"/>
      <c r="L42" s="54"/>
      <c r="M42" s="54"/>
      <c r="N42" s="54"/>
      <c r="O42" s="55"/>
      <c r="P42" s="55"/>
      <c r="Q42" s="55"/>
    </row>
    <row r="43" spans="1:17" s="25" customFormat="1" ht="15" customHeight="1">
      <c r="A43" s="24" t="s">
        <v>53</v>
      </c>
      <c r="B43" s="51"/>
      <c r="C43" s="51"/>
      <c r="D43" s="51"/>
      <c r="E43" s="52"/>
      <c r="F43" s="53"/>
      <c r="G43" s="54"/>
      <c r="H43" s="54"/>
      <c r="I43" s="54"/>
      <c r="J43" s="54"/>
      <c r="K43" s="54"/>
      <c r="L43" s="54"/>
      <c r="M43" s="54"/>
      <c r="N43" s="54">
        <f>183.1+3617.5</f>
        <v>3800.6</v>
      </c>
      <c r="O43" s="55"/>
      <c r="P43" s="55"/>
      <c r="Q43" s="55"/>
    </row>
    <row r="44" spans="1:17" s="25" customFormat="1" ht="15" customHeight="1">
      <c r="A44" s="24" t="s">
        <v>54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>
        <f>L45+L46</f>
        <v>55</v>
      </c>
      <c r="M44" s="52"/>
      <c r="N44" s="52"/>
      <c r="O44" s="52">
        <f>L44</f>
        <v>55</v>
      </c>
      <c r="P44" s="52"/>
      <c r="Q44" s="52">
        <f>O44</f>
        <v>55</v>
      </c>
    </row>
    <row r="45" spans="1:17" ht="15" customHeight="1">
      <c r="A45" s="21" t="s">
        <v>55</v>
      </c>
      <c r="B45" s="51"/>
      <c r="C45" s="51"/>
      <c r="D45" s="51"/>
      <c r="E45" s="52"/>
      <c r="F45" s="53"/>
      <c r="G45" s="54"/>
      <c r="H45" s="54"/>
      <c r="I45" s="54"/>
      <c r="J45" s="54"/>
      <c r="K45" s="54"/>
      <c r="L45" s="54">
        <v>21</v>
      </c>
      <c r="M45" s="54"/>
      <c r="N45" s="54"/>
      <c r="O45" s="55">
        <f>L45</f>
        <v>21</v>
      </c>
      <c r="P45" s="55"/>
      <c r="Q45" s="55">
        <f>O45</f>
        <v>21</v>
      </c>
    </row>
    <row r="46" spans="1:17" ht="15" customHeight="1">
      <c r="A46" s="21" t="s">
        <v>56</v>
      </c>
      <c r="B46" s="51"/>
      <c r="C46" s="51"/>
      <c r="D46" s="51"/>
      <c r="E46" s="52"/>
      <c r="F46" s="53"/>
      <c r="G46" s="54"/>
      <c r="H46" s="54"/>
      <c r="I46" s="54"/>
      <c r="J46" s="54"/>
      <c r="K46" s="54"/>
      <c r="L46" s="54">
        <v>34</v>
      </c>
      <c r="M46" s="54"/>
      <c r="N46" s="54"/>
      <c r="O46" s="55">
        <f>L46</f>
        <v>34</v>
      </c>
      <c r="P46" s="55"/>
      <c r="Q46" s="55">
        <f>O46</f>
        <v>34</v>
      </c>
    </row>
  </sheetData>
  <sheetProtection/>
  <printOptions horizontalCentered="1" verticalCentered="1"/>
  <pageMargins left="0.25" right="0.25" top="0" bottom="0" header="0.5118055555555555" footer="0.5118055555555555"/>
  <pageSetup fitToHeight="1" fitToWidth="1"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3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1.421875" style="0" customWidth="1"/>
    <col min="2" max="2" width="21.8515625" style="0" customWidth="1"/>
    <col min="3" max="3" width="11.421875" style="0" customWidth="1"/>
    <col min="4" max="4" width="13.57421875" style="0" customWidth="1"/>
    <col min="5" max="5" width="11.421875" style="0" customWidth="1"/>
    <col min="6" max="6" width="32.28125" style="0" customWidth="1"/>
    <col min="7" max="7" width="19.421875" style="0" customWidth="1"/>
  </cols>
  <sheetData>
    <row r="2" spans="2:4" ht="12.75">
      <c r="B2" s="1" t="s">
        <v>67</v>
      </c>
      <c r="C2" s="1"/>
      <c r="D2" s="1"/>
    </row>
    <row r="4" spans="2:7" ht="22.5" thickBot="1">
      <c r="B4" s="2" t="s">
        <v>68</v>
      </c>
      <c r="C4" s="3" t="s">
        <v>69</v>
      </c>
      <c r="D4" s="2" t="s">
        <v>70</v>
      </c>
      <c r="F4" s="4" t="s">
        <v>71</v>
      </c>
      <c r="G4" s="5" t="s">
        <v>72</v>
      </c>
    </row>
    <row r="5" spans="2:7" ht="19.5" thickBot="1">
      <c r="B5" s="6" t="s">
        <v>64</v>
      </c>
      <c r="C5" s="7" t="s">
        <v>73</v>
      </c>
      <c r="D5" s="8">
        <v>86</v>
      </c>
      <c r="F5" s="9" t="s">
        <v>74</v>
      </c>
      <c r="G5" s="10">
        <v>522.2</v>
      </c>
    </row>
    <row r="6" spans="2:7" ht="19.5" thickBot="1">
      <c r="B6" s="11" t="s">
        <v>62</v>
      </c>
      <c r="C6" s="12" t="s">
        <v>75</v>
      </c>
      <c r="D6" s="13">
        <v>1</v>
      </c>
      <c r="F6" s="9" t="s">
        <v>76</v>
      </c>
      <c r="G6" s="10">
        <v>690.6</v>
      </c>
    </row>
    <row r="7" spans="2:7" ht="19.5" thickBot="1">
      <c r="B7" s="11" t="s">
        <v>77</v>
      </c>
      <c r="C7" s="12" t="s">
        <v>75</v>
      </c>
      <c r="D7" s="13">
        <v>0.62</v>
      </c>
      <c r="F7" s="9" t="s">
        <v>59</v>
      </c>
      <c r="G7" s="10">
        <v>740.7</v>
      </c>
    </row>
    <row r="8" spans="2:7" ht="19.5" thickBot="1">
      <c r="B8" s="11" t="s">
        <v>74</v>
      </c>
      <c r="C8" s="12" t="s">
        <v>75</v>
      </c>
      <c r="D8" s="13">
        <v>1.13</v>
      </c>
      <c r="F8" s="9" t="s">
        <v>78</v>
      </c>
      <c r="G8" s="10">
        <v>802.6</v>
      </c>
    </row>
    <row r="9" spans="2:7" ht="19.5" thickBot="1">
      <c r="B9" s="11" t="s">
        <v>59</v>
      </c>
      <c r="C9" s="12" t="s">
        <v>75</v>
      </c>
      <c r="D9" s="13">
        <v>1.07</v>
      </c>
      <c r="F9" s="9" t="s">
        <v>79</v>
      </c>
      <c r="G9" s="10">
        <v>802.6</v>
      </c>
    </row>
    <row r="10" spans="2:7" ht="19.5" thickBot="1">
      <c r="B10" s="11" t="s">
        <v>60</v>
      </c>
      <c r="C10" s="12" t="s">
        <v>75</v>
      </c>
      <c r="D10" s="13">
        <v>1.065</v>
      </c>
      <c r="F10" s="9" t="s">
        <v>80</v>
      </c>
      <c r="G10" s="10">
        <v>843.9</v>
      </c>
    </row>
    <row r="11" spans="2:7" ht="19.5" thickBot="1">
      <c r="B11" s="11" t="s">
        <v>79</v>
      </c>
      <c r="C11" s="12" t="s">
        <v>75</v>
      </c>
      <c r="D11" s="13">
        <v>1.045</v>
      </c>
      <c r="F11" s="9" t="s">
        <v>81</v>
      </c>
      <c r="G11" s="10">
        <v>963.4</v>
      </c>
    </row>
    <row r="12" spans="2:4" ht="12.75">
      <c r="B12" s="11" t="s">
        <v>82</v>
      </c>
      <c r="C12" s="12" t="s">
        <v>75</v>
      </c>
      <c r="D12" s="13">
        <v>1.035</v>
      </c>
    </row>
    <row r="13" spans="2:4" ht="12.75">
      <c r="B13" s="11" t="s">
        <v>81</v>
      </c>
      <c r="C13" s="12" t="s">
        <v>75</v>
      </c>
      <c r="D13" s="13">
        <v>0.96</v>
      </c>
    </row>
    <row r="14" spans="2:4" ht="12.75">
      <c r="B14" s="11" t="s">
        <v>76</v>
      </c>
      <c r="C14" s="12" t="s">
        <v>75</v>
      </c>
      <c r="D14" s="13">
        <v>1.075</v>
      </c>
    </row>
    <row r="15" spans="2:4" ht="12.75">
      <c r="B15" s="11" t="s">
        <v>83</v>
      </c>
      <c r="C15" s="12" t="s">
        <v>75</v>
      </c>
      <c r="D15" s="13">
        <v>0.96</v>
      </c>
    </row>
    <row r="16" spans="2:4" ht="12.75">
      <c r="B16" s="11" t="s">
        <v>84</v>
      </c>
      <c r="C16" s="12" t="s">
        <v>85</v>
      </c>
      <c r="D16" s="13">
        <v>0.8</v>
      </c>
    </row>
    <row r="17" spans="2:4" ht="12.75">
      <c r="B17" s="11" t="s">
        <v>57</v>
      </c>
      <c r="C17" s="12" t="s">
        <v>75</v>
      </c>
      <c r="D17" s="13">
        <v>0.4</v>
      </c>
    </row>
    <row r="18" spans="2:4" ht="12.75">
      <c r="B18" s="11" t="s">
        <v>86</v>
      </c>
      <c r="C18" s="12" t="s">
        <v>75</v>
      </c>
      <c r="D18" s="13">
        <v>0.7</v>
      </c>
    </row>
    <row r="19" spans="2:4" ht="12.75">
      <c r="B19" s="11" t="s">
        <v>87</v>
      </c>
      <c r="C19" s="12" t="s">
        <v>75</v>
      </c>
      <c r="D19" s="13">
        <v>0.3</v>
      </c>
    </row>
    <row r="20" spans="2:4" ht="12.75">
      <c r="B20" s="14" t="s">
        <v>58</v>
      </c>
      <c r="C20" s="15" t="s">
        <v>88</v>
      </c>
      <c r="D20" s="16">
        <v>0.51</v>
      </c>
    </row>
    <row r="21" spans="2:4" ht="13.5" thickBot="1">
      <c r="B21" s="17" t="s">
        <v>89</v>
      </c>
      <c r="C21" s="18" t="s">
        <v>75</v>
      </c>
      <c r="D21" s="19">
        <v>0.057</v>
      </c>
    </row>
    <row r="22" ht="12.75">
      <c r="G22">
        <f>G11*71307</f>
        <v>68697163.8</v>
      </c>
    </row>
    <row r="23" ht="12.75">
      <c r="G23">
        <f>G10*48036</f>
        <v>40537580.4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15.7109375" defaultRowHeight="15" customHeight="1"/>
  <cols>
    <col min="1" max="1" width="61.28125" style="22" bestFit="1" customWidth="1"/>
    <col min="2" max="2" width="17.7109375" style="22" bestFit="1" customWidth="1"/>
    <col min="3" max="3" width="17.140625" style="22" bestFit="1" customWidth="1"/>
    <col min="4" max="4" width="18.7109375" style="22" bestFit="1" customWidth="1"/>
    <col min="5" max="5" width="16.28125" style="22" bestFit="1" customWidth="1"/>
    <col min="6" max="6" width="17.140625" style="22" bestFit="1" customWidth="1"/>
    <col min="7" max="7" width="18.8515625" style="22" bestFit="1" customWidth="1"/>
    <col min="8" max="8" width="15.421875" style="22" bestFit="1" customWidth="1"/>
    <col min="9" max="9" width="17.00390625" style="22" bestFit="1" customWidth="1"/>
    <col min="10" max="10" width="19.7109375" style="22" bestFit="1" customWidth="1"/>
    <col min="11" max="11" width="17.421875" style="22" bestFit="1" customWidth="1"/>
    <col min="12" max="12" width="16.28125" style="22" bestFit="1" customWidth="1"/>
    <col min="13" max="13" width="15.7109375" style="22" customWidth="1"/>
    <col min="14" max="14" width="15.28125" style="22" bestFit="1" customWidth="1"/>
    <col min="15" max="15" width="9.140625" style="0" customWidth="1"/>
    <col min="16" max="16" width="19.7109375" style="22" bestFit="1" customWidth="1"/>
    <col min="17" max="17" width="19.28125" style="22" bestFit="1" customWidth="1"/>
    <col min="18" max="16384" width="15.7109375" style="22" customWidth="1"/>
  </cols>
  <sheetData>
    <row r="1" spans="1:17" ht="15" customHeight="1">
      <c r="A1" s="20"/>
      <c r="B1" s="21"/>
      <c r="C1" s="21"/>
      <c r="D1" s="21"/>
      <c r="E1" s="21"/>
      <c r="F1" s="21"/>
      <c r="G1" s="21"/>
      <c r="H1" s="28"/>
      <c r="I1" s="21"/>
      <c r="J1" s="21"/>
      <c r="K1" s="21"/>
      <c r="L1" s="21"/>
      <c r="M1" s="21"/>
      <c r="N1" s="21"/>
      <c r="P1" s="21"/>
      <c r="Q1" s="21"/>
    </row>
    <row r="2" spans="1:17" s="23" customFormat="1" ht="57.75" customHeight="1">
      <c r="A2" s="29" t="s">
        <v>110</v>
      </c>
      <c r="B2" s="30" t="s">
        <v>96</v>
      </c>
      <c r="C2" s="30" t="s">
        <v>97</v>
      </c>
      <c r="D2" s="30" t="s">
        <v>98</v>
      </c>
      <c r="E2" s="35" t="s">
        <v>92</v>
      </c>
      <c r="F2" s="36" t="s">
        <v>101</v>
      </c>
      <c r="G2" s="37" t="s">
        <v>62</v>
      </c>
      <c r="H2" s="37" t="s">
        <v>99</v>
      </c>
      <c r="I2" s="37" t="s">
        <v>59</v>
      </c>
      <c r="J2" s="37" t="s">
        <v>60</v>
      </c>
      <c r="K2" s="38" t="s">
        <v>102</v>
      </c>
      <c r="L2" s="38" t="s">
        <v>103</v>
      </c>
      <c r="M2" s="37" t="s">
        <v>100</v>
      </c>
      <c r="N2" s="38" t="s">
        <v>104</v>
      </c>
      <c r="O2" s="34" t="s">
        <v>91</v>
      </c>
      <c r="P2" s="40" t="s">
        <v>105</v>
      </c>
      <c r="Q2" s="39" t="s">
        <v>94</v>
      </c>
    </row>
    <row r="3" spans="1:17" ht="15" customHeight="1">
      <c r="A3" s="21" t="s">
        <v>14</v>
      </c>
      <c r="B3" s="51">
        <f>902619*0.4</f>
        <v>361047.60000000003</v>
      </c>
      <c r="C3" s="51"/>
      <c r="D3" s="51"/>
      <c r="E3" s="52"/>
      <c r="F3" s="53"/>
      <c r="G3" s="54"/>
      <c r="H3" s="54"/>
      <c r="I3" s="54"/>
      <c r="J3" s="54"/>
      <c r="K3" s="54"/>
      <c r="L3" s="54"/>
      <c r="M3" s="54"/>
      <c r="N3" s="54"/>
      <c r="O3" s="55">
        <f>O12+O13</f>
        <v>0</v>
      </c>
      <c r="P3" s="55"/>
      <c r="Q3" s="55"/>
    </row>
    <row r="4" spans="1:17" ht="15" customHeight="1">
      <c r="A4" s="21" t="s">
        <v>15</v>
      </c>
      <c r="B4" s="51"/>
      <c r="C4" s="51"/>
      <c r="D4" s="51"/>
      <c r="E4" s="52"/>
      <c r="F4" s="53"/>
      <c r="G4" s="54"/>
      <c r="H4" s="54">
        <f>510.5*1.13</f>
        <v>576.8649999999999</v>
      </c>
      <c r="I4" s="54">
        <f>1.07*4893.4</f>
        <v>5235.938</v>
      </c>
      <c r="J4" s="54">
        <f>1.065*1019.7</f>
        <v>1085.9805</v>
      </c>
      <c r="K4" s="54">
        <f>1.045*10.53</f>
        <v>11.003849999999998</v>
      </c>
      <c r="L4" s="54">
        <f>1.035*40530</f>
        <v>41948.549999999996</v>
      </c>
      <c r="M4" s="54"/>
      <c r="N4" s="54">
        <f>0.96*3800.6</f>
        <v>3648.5759999999996</v>
      </c>
      <c r="O4" s="55"/>
      <c r="P4" s="55"/>
      <c r="Q4" s="55"/>
    </row>
    <row r="5" spans="1:17" ht="15" customHeight="1">
      <c r="A5" s="21" t="s">
        <v>16</v>
      </c>
      <c r="B5" s="51"/>
      <c r="C5" s="51"/>
      <c r="D5" s="51"/>
      <c r="E5" s="52"/>
      <c r="F5" s="53"/>
      <c r="G5" s="54"/>
      <c r="H5" s="54"/>
      <c r="I5" s="54"/>
      <c r="J5" s="54"/>
      <c r="K5" s="54"/>
      <c r="L5" s="54"/>
      <c r="M5" s="54"/>
      <c r="N5" s="54"/>
      <c r="O5" s="55"/>
      <c r="P5" s="55"/>
      <c r="Q5" s="55"/>
    </row>
    <row r="6" spans="1:17" ht="15" customHeight="1">
      <c r="A6" s="21" t="s">
        <v>17</v>
      </c>
      <c r="B6" s="51"/>
      <c r="C6" s="51"/>
      <c r="D6" s="51"/>
      <c r="E6" s="52"/>
      <c r="F6" s="53"/>
      <c r="G6" s="54"/>
      <c r="H6" s="54"/>
      <c r="I6" s="54"/>
      <c r="J6" s="54"/>
      <c r="K6" s="54"/>
      <c r="L6" s="54"/>
      <c r="M6" s="54"/>
      <c r="N6" s="54"/>
      <c r="O6" s="55"/>
      <c r="P6" s="55"/>
      <c r="Q6" s="55"/>
    </row>
    <row r="7" spans="1:17" ht="15" customHeight="1">
      <c r="A7" s="21" t="s">
        <v>18</v>
      </c>
      <c r="B7" s="51"/>
      <c r="C7" s="51"/>
      <c r="D7" s="51"/>
      <c r="E7" s="52"/>
      <c r="F7" s="53"/>
      <c r="G7" s="54"/>
      <c r="H7" s="54"/>
      <c r="I7" s="54"/>
      <c r="J7" s="54"/>
      <c r="K7" s="54"/>
      <c r="L7" s="54"/>
      <c r="M7" s="54"/>
      <c r="N7" s="54"/>
      <c r="O7" s="55"/>
      <c r="P7" s="55"/>
      <c r="Q7" s="55"/>
    </row>
    <row r="8" spans="1:19" s="25" customFormat="1" ht="15" customHeight="1">
      <c r="A8" s="48" t="s">
        <v>19</v>
      </c>
      <c r="B8" s="59">
        <f>B3+B4+B5+B6+B7</f>
        <v>361047.60000000003</v>
      </c>
      <c r="C8" s="59"/>
      <c r="D8" s="52"/>
      <c r="E8" s="52"/>
      <c r="F8" s="52"/>
      <c r="G8" s="52"/>
      <c r="H8" s="52">
        <f>H4</f>
        <v>576.8649999999999</v>
      </c>
      <c r="I8" s="52">
        <f>I4</f>
        <v>5235.938</v>
      </c>
      <c r="J8" s="52">
        <f>J4</f>
        <v>1085.9805</v>
      </c>
      <c r="K8" s="52">
        <f>K4</f>
        <v>11.003849999999998</v>
      </c>
      <c r="L8" s="52">
        <f>L3+L4+L5+L6</f>
        <v>41948.549999999996</v>
      </c>
      <c r="M8" s="52"/>
      <c r="N8" s="52">
        <f>N4</f>
        <v>3648.5759999999996</v>
      </c>
      <c r="O8" s="52">
        <f>O3</f>
        <v>0</v>
      </c>
      <c r="P8" s="52">
        <f>P3+P4+P5+P6+P7</f>
        <v>0</v>
      </c>
      <c r="Q8" s="52">
        <f>Q3</f>
        <v>0</v>
      </c>
      <c r="S8" s="22"/>
    </row>
    <row r="9" spans="1:17" ht="15" customHeight="1">
      <c r="A9" s="21" t="s">
        <v>20</v>
      </c>
      <c r="B9" s="51"/>
      <c r="C9" s="51"/>
      <c r="D9" s="51"/>
      <c r="E9" s="52"/>
      <c r="F9" s="53"/>
      <c r="G9" s="54"/>
      <c r="H9" s="54"/>
      <c r="I9" s="54"/>
      <c r="J9" s="54"/>
      <c r="K9" s="54"/>
      <c r="L9" s="54"/>
      <c r="M9" s="54"/>
      <c r="N9" s="54"/>
      <c r="O9" s="55"/>
      <c r="P9" s="55"/>
      <c r="Q9" s="55"/>
    </row>
    <row r="10" spans="1:17" ht="15" customHeight="1">
      <c r="A10" s="21" t="s">
        <v>21</v>
      </c>
      <c r="B10" s="56">
        <f>B22-B21-B20-B11-(B8+B9)</f>
        <v>0</v>
      </c>
      <c r="C10" s="56">
        <f aca="true" t="shared" si="0" ref="C10:P10">C22-C21-C20-C11-(C8+C9)</f>
        <v>0</v>
      </c>
      <c r="D10" s="56">
        <f t="shared" si="0"/>
        <v>0</v>
      </c>
      <c r="E10" s="56">
        <f t="shared" si="0"/>
        <v>0</v>
      </c>
      <c r="F10" s="56">
        <f t="shared" si="0"/>
        <v>0</v>
      </c>
      <c r="G10" s="56">
        <f t="shared" si="0"/>
        <v>0</v>
      </c>
      <c r="H10" s="56">
        <f t="shared" si="0"/>
        <v>0</v>
      </c>
      <c r="I10" s="56">
        <f t="shared" si="0"/>
        <v>0</v>
      </c>
      <c r="J10" s="56">
        <f t="shared" si="0"/>
        <v>0</v>
      </c>
      <c r="K10" s="56">
        <f t="shared" si="0"/>
        <v>0</v>
      </c>
      <c r="L10" s="56">
        <f>L22-L21-L20-L11-(L8+L9)</f>
        <v>-0.8280000000013388</v>
      </c>
      <c r="M10" s="56">
        <f t="shared" si="0"/>
        <v>0</v>
      </c>
      <c r="N10" s="56">
        <f t="shared" si="0"/>
        <v>0.20000000000027285</v>
      </c>
      <c r="O10" s="56">
        <f t="shared" si="0"/>
        <v>0</v>
      </c>
      <c r="P10" s="56">
        <f t="shared" si="0"/>
        <v>0</v>
      </c>
      <c r="Q10" s="56">
        <f>Q22-Q21-Q20-Q11-(Q8+Q9)</f>
        <v>0</v>
      </c>
    </row>
    <row r="11" spans="1:17" s="25" customFormat="1" ht="15" customHeight="1">
      <c r="A11" s="48" t="s">
        <v>22</v>
      </c>
      <c r="B11" s="52">
        <f>SUM(B12:B19)</f>
        <v>-76370</v>
      </c>
      <c r="C11" s="52">
        <f>SUM(C12:C19)</f>
        <v>21383.6</v>
      </c>
      <c r="D11" s="52"/>
      <c r="E11" s="52"/>
      <c r="F11" s="52"/>
      <c r="G11" s="52"/>
      <c r="H11" s="52"/>
      <c r="I11" s="52"/>
      <c r="J11" s="52"/>
      <c r="K11" s="52"/>
      <c r="L11" s="52">
        <f>L12+L13</f>
        <v>-13004.050499999998</v>
      </c>
      <c r="M11" s="52"/>
      <c r="N11" s="52"/>
      <c r="O11" s="52">
        <f>O13+O12</f>
        <v>0</v>
      </c>
      <c r="P11" s="52">
        <f>SUM(P12:P19)</f>
        <v>0</v>
      </c>
      <c r="Q11" s="52">
        <f>SUM(Q12:Q19)</f>
        <v>4730</v>
      </c>
    </row>
    <row r="12" spans="1:17" ht="15" customHeight="1">
      <c r="A12" s="21" t="s">
        <v>23</v>
      </c>
      <c r="B12" s="51"/>
      <c r="C12" s="51"/>
      <c r="D12" s="51"/>
      <c r="E12" s="52"/>
      <c r="F12" s="53"/>
      <c r="G12" s="54"/>
      <c r="H12" s="54"/>
      <c r="I12" s="54"/>
      <c r="J12" s="54"/>
      <c r="K12" s="54"/>
      <c r="L12" s="54">
        <f>-1.035*4837</f>
        <v>-5006.294999999999</v>
      </c>
      <c r="M12" s="54"/>
      <c r="N12" s="54"/>
      <c r="O12" s="57">
        <f>-86*'Bilan _unités physiques_'!O12</f>
        <v>0</v>
      </c>
      <c r="P12" s="55">
        <v>0</v>
      </c>
      <c r="Q12" s="55">
        <f>Q45*86</f>
        <v>1806</v>
      </c>
    </row>
    <row r="13" spans="1:17" ht="15" customHeight="1">
      <c r="A13" s="21" t="s">
        <v>24</v>
      </c>
      <c r="B13" s="51"/>
      <c r="C13" s="51"/>
      <c r="D13" s="51"/>
      <c r="E13" s="52"/>
      <c r="F13" s="53"/>
      <c r="G13" s="54"/>
      <c r="H13" s="54"/>
      <c r="I13" s="54"/>
      <c r="J13" s="54"/>
      <c r="K13" s="54"/>
      <c r="L13" s="54">
        <f>-1.035*7727.3</f>
        <v>-7997.755499999999</v>
      </c>
      <c r="M13" s="54"/>
      <c r="N13" s="54"/>
      <c r="O13" s="55">
        <f>-86*'Bilan _unités physiques_'!O13</f>
        <v>0</v>
      </c>
      <c r="P13" s="55">
        <v>0</v>
      </c>
      <c r="Q13" s="55">
        <f>Q46*86</f>
        <v>2924</v>
      </c>
    </row>
    <row r="14" spans="1:17" ht="15" customHeight="1">
      <c r="A14" s="21" t="s">
        <v>25</v>
      </c>
      <c r="B14" s="51"/>
      <c r="C14" s="51"/>
      <c r="D14" s="51"/>
      <c r="E14" s="52"/>
      <c r="F14" s="53"/>
      <c r="G14" s="54"/>
      <c r="H14" s="54"/>
      <c r="I14" s="54"/>
      <c r="J14" s="54"/>
      <c r="K14" s="54"/>
      <c r="L14" s="54"/>
      <c r="M14" s="54"/>
      <c r="N14" s="54"/>
      <c r="O14" s="55"/>
      <c r="P14" s="55"/>
      <c r="Q14" s="55"/>
    </row>
    <row r="15" spans="1:17" ht="15" customHeight="1">
      <c r="A15" s="21" t="s">
        <v>26</v>
      </c>
      <c r="B15" s="51"/>
      <c r="C15" s="51"/>
      <c r="D15" s="51"/>
      <c r="E15" s="52"/>
      <c r="F15" s="53"/>
      <c r="G15" s="54"/>
      <c r="H15" s="54"/>
      <c r="I15" s="54"/>
      <c r="J15" s="54"/>
      <c r="K15" s="54"/>
      <c r="L15" s="54"/>
      <c r="M15" s="54"/>
      <c r="N15" s="54"/>
      <c r="O15" s="55"/>
      <c r="P15" s="55"/>
      <c r="Q15" s="55"/>
    </row>
    <row r="16" spans="1:17" ht="15" customHeight="1">
      <c r="A16" s="21" t="s">
        <v>27</v>
      </c>
      <c r="B16" s="51"/>
      <c r="C16" s="51"/>
      <c r="D16" s="51"/>
      <c r="E16" s="52"/>
      <c r="F16" s="53"/>
      <c r="G16" s="54"/>
      <c r="H16" s="54"/>
      <c r="I16" s="54"/>
      <c r="J16" s="54"/>
      <c r="K16" s="54"/>
      <c r="L16" s="54"/>
      <c r="M16" s="54"/>
      <c r="N16" s="54"/>
      <c r="O16" s="57"/>
      <c r="P16" s="55"/>
      <c r="Q16" s="55"/>
    </row>
    <row r="17" spans="1:17" ht="15" customHeight="1">
      <c r="A17" s="21" t="s">
        <v>28</v>
      </c>
      <c r="B17" s="51"/>
      <c r="C17" s="51"/>
      <c r="D17" s="51"/>
      <c r="E17" s="52"/>
      <c r="F17" s="53"/>
      <c r="G17" s="54"/>
      <c r="H17" s="54"/>
      <c r="I17" s="54"/>
      <c r="J17" s="54"/>
      <c r="K17" s="54"/>
      <c r="L17" s="54"/>
      <c r="M17" s="54"/>
      <c r="N17" s="54"/>
      <c r="O17" s="57"/>
      <c r="P17" s="55"/>
      <c r="Q17" s="55"/>
    </row>
    <row r="18" spans="1:17" ht="15" customHeight="1">
      <c r="A18" s="24" t="s">
        <v>29</v>
      </c>
      <c r="B18" s="51">
        <f>0.4*(-190925)</f>
        <v>-76370</v>
      </c>
      <c r="C18" s="51">
        <f>0.7*'Bilan _unités physiques_'!C3</f>
        <v>21383.6</v>
      </c>
      <c r="D18" s="51"/>
      <c r="E18" s="52"/>
      <c r="F18" s="53"/>
      <c r="G18" s="54"/>
      <c r="H18" s="54"/>
      <c r="I18" s="54"/>
      <c r="J18" s="54"/>
      <c r="K18" s="54"/>
      <c r="L18" s="54"/>
      <c r="M18" s="54"/>
      <c r="N18" s="54"/>
      <c r="O18" s="57"/>
      <c r="P18" s="55"/>
      <c r="Q18" s="55"/>
    </row>
    <row r="19" spans="1:17" ht="15" customHeight="1">
      <c r="A19" s="21" t="s">
        <v>30</v>
      </c>
      <c r="B19" s="51"/>
      <c r="C19" s="51"/>
      <c r="D19" s="51"/>
      <c r="E19" s="52"/>
      <c r="F19" s="53"/>
      <c r="G19" s="54"/>
      <c r="H19" s="54"/>
      <c r="I19" s="54"/>
      <c r="J19" s="54"/>
      <c r="K19" s="54"/>
      <c r="L19" s="54"/>
      <c r="M19" s="54"/>
      <c r="N19" s="54"/>
      <c r="O19" s="57"/>
      <c r="P19" s="55"/>
      <c r="Q19" s="55"/>
    </row>
    <row r="20" spans="1:17" s="25" customFormat="1" ht="15" customHeight="1">
      <c r="A20" s="24" t="s">
        <v>31</v>
      </c>
      <c r="B20" s="51"/>
      <c r="C20" s="51"/>
      <c r="D20" s="51"/>
      <c r="E20" s="52"/>
      <c r="F20" s="53"/>
      <c r="G20" s="54"/>
      <c r="H20" s="54"/>
      <c r="I20" s="54"/>
      <c r="J20" s="54"/>
      <c r="K20" s="54"/>
      <c r="L20" s="54"/>
      <c r="M20" s="54"/>
      <c r="N20" s="54"/>
      <c r="O20" s="55"/>
      <c r="P20" s="55"/>
      <c r="Q20" s="55"/>
    </row>
    <row r="21" spans="1:17" s="25" customFormat="1" ht="15" customHeight="1">
      <c r="A21" s="24" t="s">
        <v>32</v>
      </c>
      <c r="B21" s="51"/>
      <c r="C21" s="51"/>
      <c r="D21" s="51"/>
      <c r="E21" s="52"/>
      <c r="F21" s="53"/>
      <c r="G21" s="54"/>
      <c r="H21" s="54"/>
      <c r="I21" s="54"/>
      <c r="J21" s="54"/>
      <c r="K21" s="54"/>
      <c r="L21" s="54"/>
      <c r="M21" s="54"/>
      <c r="N21" s="54"/>
      <c r="O21" s="55">
        <f>86*'Bilan _unités physiques_'!O21</f>
        <v>0</v>
      </c>
      <c r="P21" s="55">
        <f>P11*15/100</f>
        <v>0</v>
      </c>
      <c r="Q21" s="55">
        <f>86*'Bilan _unités physiques_'!Q21</f>
        <v>0</v>
      </c>
    </row>
    <row r="22" spans="1:17" s="25" customFormat="1" ht="15" customHeight="1">
      <c r="A22" s="49" t="s">
        <v>33</v>
      </c>
      <c r="B22" s="52">
        <f>B23+B31+B38+B43</f>
        <v>284677.6</v>
      </c>
      <c r="C22" s="52">
        <f aca="true" t="shared" si="1" ref="C22:P22">C23+C31+C38+C43</f>
        <v>21383.6</v>
      </c>
      <c r="D22" s="52">
        <f t="shared" si="1"/>
        <v>0</v>
      </c>
      <c r="E22" s="52">
        <f t="shared" si="1"/>
        <v>0</v>
      </c>
      <c r="F22" s="52">
        <f t="shared" si="1"/>
        <v>0</v>
      </c>
      <c r="G22" s="52">
        <f t="shared" si="1"/>
        <v>0</v>
      </c>
      <c r="H22" s="52">
        <f t="shared" si="1"/>
        <v>576.8649999999999</v>
      </c>
      <c r="I22" s="52">
        <f t="shared" si="1"/>
        <v>5235.938</v>
      </c>
      <c r="J22" s="52">
        <f t="shared" si="1"/>
        <v>1085.9805</v>
      </c>
      <c r="K22" s="52">
        <f t="shared" si="1"/>
        <v>11.003849999999998</v>
      </c>
      <c r="L22" s="52">
        <f t="shared" si="1"/>
        <v>28943.671499999997</v>
      </c>
      <c r="M22" s="52">
        <f t="shared" si="1"/>
        <v>0</v>
      </c>
      <c r="N22" s="52">
        <f t="shared" si="1"/>
        <v>3648.776</v>
      </c>
      <c r="O22" s="52">
        <f t="shared" si="1"/>
        <v>0</v>
      </c>
      <c r="P22" s="52">
        <f t="shared" si="1"/>
        <v>0</v>
      </c>
      <c r="Q22" s="52">
        <f>86*55</f>
        <v>4730</v>
      </c>
    </row>
    <row r="23" spans="1:19" s="27" customFormat="1" ht="15" customHeight="1">
      <c r="A23" s="49" t="s">
        <v>34</v>
      </c>
      <c r="B23" s="52">
        <f>SUM(B24:B30)</f>
        <v>56935.52</v>
      </c>
      <c r="C23" s="58"/>
      <c r="D23" s="58"/>
      <c r="E23" s="58"/>
      <c r="F23" s="58"/>
      <c r="G23" s="58"/>
      <c r="H23" s="58"/>
      <c r="I23" s="58">
        <f>I30</f>
        <v>575.9489</v>
      </c>
      <c r="J23" s="52"/>
      <c r="K23" s="58"/>
      <c r="L23" s="58">
        <f>L30</f>
        <v>2231.46</v>
      </c>
      <c r="M23" s="58"/>
      <c r="N23" s="58">
        <f>N28</f>
        <v>0</v>
      </c>
      <c r="O23" s="58"/>
      <c r="P23" s="58"/>
      <c r="Q23" s="58">
        <f>Q30+Q29+Q28+Q27+Q26+Q25+Q24</f>
        <v>0</v>
      </c>
      <c r="S23" s="25"/>
    </row>
    <row r="24" spans="1:17" ht="15" customHeight="1">
      <c r="A24" s="21" t="s">
        <v>35</v>
      </c>
      <c r="B24" s="51"/>
      <c r="C24" s="51"/>
      <c r="D24" s="51"/>
      <c r="E24" s="52"/>
      <c r="F24" s="53"/>
      <c r="G24" s="54"/>
      <c r="H24" s="54"/>
      <c r="I24" s="54"/>
      <c r="J24" s="54"/>
      <c r="K24" s="54"/>
      <c r="L24" s="54"/>
      <c r="M24" s="54"/>
      <c r="N24" s="54"/>
      <c r="O24" s="55"/>
      <c r="P24" s="55"/>
      <c r="Q24" s="55"/>
    </row>
    <row r="25" spans="1:17" ht="15" customHeight="1">
      <c r="A25" s="21" t="s">
        <v>66</v>
      </c>
      <c r="B25" s="51"/>
      <c r="C25" s="51"/>
      <c r="D25" s="51"/>
      <c r="E25" s="52"/>
      <c r="F25" s="53"/>
      <c r="G25" s="54"/>
      <c r="H25" s="54"/>
      <c r="I25" s="54"/>
      <c r="J25" s="54"/>
      <c r="K25" s="54"/>
      <c r="L25" s="54"/>
      <c r="M25" s="54"/>
      <c r="N25" s="54"/>
      <c r="O25" s="55"/>
      <c r="P25" s="55"/>
      <c r="Q25" s="55"/>
    </row>
    <row r="26" spans="1:17" ht="15" customHeight="1">
      <c r="A26" s="21" t="s">
        <v>36</v>
      </c>
      <c r="B26" s="51"/>
      <c r="C26" s="51"/>
      <c r="D26" s="51"/>
      <c r="E26" s="52"/>
      <c r="F26" s="53"/>
      <c r="G26" s="54"/>
      <c r="H26" s="54"/>
      <c r="I26" s="54"/>
      <c r="J26" s="54"/>
      <c r="K26" s="54"/>
      <c r="L26" s="54"/>
      <c r="M26" s="54"/>
      <c r="N26" s="54"/>
      <c r="O26" s="55"/>
      <c r="P26" s="55"/>
      <c r="Q26" s="55"/>
    </row>
    <row r="27" spans="1:17" ht="15" customHeight="1">
      <c r="A27" s="21" t="s">
        <v>37</v>
      </c>
      <c r="B27" s="51"/>
      <c r="C27" s="51"/>
      <c r="D27" s="51"/>
      <c r="E27" s="52"/>
      <c r="F27" s="53"/>
      <c r="G27" s="54"/>
      <c r="H27" s="54"/>
      <c r="I27" s="54"/>
      <c r="J27" s="54"/>
      <c r="K27" s="54"/>
      <c r="L27" s="54"/>
      <c r="M27" s="54"/>
      <c r="N27" s="54"/>
      <c r="O27" s="55"/>
      <c r="P27" s="55"/>
      <c r="Q27" s="55"/>
    </row>
    <row r="28" spans="1:17" ht="15" customHeight="1">
      <c r="A28" s="21" t="s">
        <v>38</v>
      </c>
      <c r="B28" s="51"/>
      <c r="C28" s="51"/>
      <c r="D28" s="51"/>
      <c r="E28" s="52"/>
      <c r="F28" s="53"/>
      <c r="G28" s="54"/>
      <c r="H28" s="54"/>
      <c r="I28" s="54"/>
      <c r="J28" s="54"/>
      <c r="K28" s="54"/>
      <c r="L28" s="54"/>
      <c r="M28" s="54"/>
      <c r="N28" s="54"/>
      <c r="O28" s="55"/>
      <c r="P28" s="55"/>
      <c r="Q28" s="55"/>
    </row>
    <row r="29" spans="1:17" ht="15" customHeight="1">
      <c r="A29" s="21" t="s">
        <v>39</v>
      </c>
      <c r="B29" s="51"/>
      <c r="C29" s="51"/>
      <c r="D29" s="51"/>
      <c r="E29" s="52"/>
      <c r="F29" s="53"/>
      <c r="G29" s="54"/>
      <c r="H29" s="54"/>
      <c r="I29" s="54"/>
      <c r="J29" s="54"/>
      <c r="K29" s="54"/>
      <c r="L29" s="54"/>
      <c r="M29" s="54"/>
      <c r="N29" s="54"/>
      <c r="O29" s="55"/>
      <c r="P29" s="55"/>
      <c r="Q29" s="55"/>
    </row>
    <row r="30" spans="1:17" ht="15" customHeight="1">
      <c r="A30" s="21" t="s">
        <v>40</v>
      </c>
      <c r="B30" s="51">
        <f>0.4*142338.8</f>
        <v>56935.52</v>
      </c>
      <c r="C30" s="51"/>
      <c r="D30" s="51"/>
      <c r="E30" s="52"/>
      <c r="F30" s="53"/>
      <c r="G30" s="54"/>
      <c r="H30" s="54"/>
      <c r="I30" s="54">
        <f>1.07*538.27</f>
        <v>575.9489</v>
      </c>
      <c r="J30" s="54"/>
      <c r="K30" s="54"/>
      <c r="L30" s="54">
        <f>1.035*2156</f>
        <v>2231.46</v>
      </c>
      <c r="M30" s="54"/>
      <c r="N30" s="54"/>
      <c r="O30" s="55"/>
      <c r="P30" s="55"/>
      <c r="Q30" s="55"/>
    </row>
    <row r="31" spans="1:19" s="27" customFormat="1" ht="15" customHeight="1">
      <c r="A31" s="50" t="s">
        <v>41</v>
      </c>
      <c r="B31" s="58"/>
      <c r="C31" s="58"/>
      <c r="D31" s="58"/>
      <c r="E31" s="58"/>
      <c r="F31" s="58"/>
      <c r="G31" s="58"/>
      <c r="H31" s="58"/>
      <c r="I31" s="58">
        <f>I33+I36</f>
        <v>4659.9891</v>
      </c>
      <c r="J31" s="58">
        <f>J32</f>
        <v>1085.9805</v>
      </c>
      <c r="K31" s="58"/>
      <c r="L31" s="58">
        <f>L33+L36+L37</f>
        <v>19715.1975</v>
      </c>
      <c r="M31" s="58"/>
      <c r="N31" s="58"/>
      <c r="O31" s="58"/>
      <c r="P31" s="58"/>
      <c r="Q31" s="58"/>
      <c r="S31" s="25"/>
    </row>
    <row r="32" spans="1:17" ht="15" customHeight="1">
      <c r="A32" s="21" t="s">
        <v>42</v>
      </c>
      <c r="B32" s="51"/>
      <c r="C32" s="51"/>
      <c r="D32" s="51"/>
      <c r="E32" s="52"/>
      <c r="F32" s="53"/>
      <c r="G32" s="54"/>
      <c r="H32" s="54"/>
      <c r="I32" s="54"/>
      <c r="J32" s="54">
        <f>J8</f>
        <v>1085.9805</v>
      </c>
      <c r="K32" s="54"/>
      <c r="L32" s="54"/>
      <c r="M32" s="54"/>
      <c r="N32" s="54"/>
      <c r="O32" s="55"/>
      <c r="P32" s="55"/>
      <c r="Q32" s="55"/>
    </row>
    <row r="33" spans="1:17" ht="15" customHeight="1">
      <c r="A33" s="21" t="s">
        <v>43</v>
      </c>
      <c r="B33" s="51"/>
      <c r="C33" s="51"/>
      <c r="D33" s="51"/>
      <c r="E33" s="52"/>
      <c r="F33" s="53"/>
      <c r="G33" s="54"/>
      <c r="H33" s="54"/>
      <c r="I33" s="54">
        <f>1.07*4268.03</f>
        <v>4566.7921</v>
      </c>
      <c r="J33" s="54"/>
      <c r="K33" s="54"/>
      <c r="L33" s="54">
        <f>1.035*18858</f>
        <v>19518.03</v>
      </c>
      <c r="M33" s="54"/>
      <c r="N33" s="54"/>
      <c r="O33" s="55"/>
      <c r="P33" s="55"/>
      <c r="Q33" s="55"/>
    </row>
    <row r="34" spans="1:17" ht="15" customHeight="1">
      <c r="A34" s="21" t="s">
        <v>44</v>
      </c>
      <c r="B34" s="51"/>
      <c r="C34" s="51"/>
      <c r="D34" s="51"/>
      <c r="E34" s="52"/>
      <c r="F34" s="53"/>
      <c r="G34" s="54"/>
      <c r="H34" s="54"/>
      <c r="I34" s="54"/>
      <c r="J34" s="54"/>
      <c r="K34" s="54"/>
      <c r="L34" s="54"/>
      <c r="M34" s="54"/>
      <c r="N34" s="54"/>
      <c r="O34" s="55"/>
      <c r="P34" s="55"/>
      <c r="Q34" s="55"/>
    </row>
    <row r="35" spans="1:17" ht="15" customHeight="1">
      <c r="A35" s="21" t="s">
        <v>45</v>
      </c>
      <c r="B35" s="51"/>
      <c r="C35" s="51"/>
      <c r="D35" s="51"/>
      <c r="E35" s="52"/>
      <c r="F35" s="53"/>
      <c r="G35" s="54"/>
      <c r="H35" s="54"/>
      <c r="I35" s="54"/>
      <c r="J35" s="54"/>
      <c r="K35" s="54"/>
      <c r="L35" s="54"/>
      <c r="M35" s="54"/>
      <c r="N35" s="54"/>
      <c r="O35" s="55"/>
      <c r="P35" s="55"/>
      <c r="Q35" s="55"/>
    </row>
    <row r="36" spans="1:17" ht="15" customHeight="1">
      <c r="A36" s="21" t="s">
        <v>46</v>
      </c>
      <c r="B36" s="51"/>
      <c r="C36" s="51"/>
      <c r="D36" s="51"/>
      <c r="E36" s="52"/>
      <c r="F36" s="53"/>
      <c r="G36" s="54"/>
      <c r="H36" s="54"/>
      <c r="I36" s="54">
        <f>1.07*87.1</f>
        <v>93.197</v>
      </c>
      <c r="J36" s="54"/>
      <c r="K36" s="54"/>
      <c r="L36" s="54">
        <f>1.035*190.5</f>
        <v>197.1675</v>
      </c>
      <c r="M36" s="54"/>
      <c r="N36" s="54"/>
      <c r="O36" s="55"/>
      <c r="P36" s="55"/>
      <c r="Q36" s="55"/>
    </row>
    <row r="37" spans="1:17" ht="15" customHeight="1">
      <c r="A37" s="21" t="s">
        <v>47</v>
      </c>
      <c r="B37" s="51"/>
      <c r="C37" s="51"/>
      <c r="D37" s="51"/>
      <c r="E37" s="52"/>
      <c r="F37" s="53"/>
      <c r="G37" s="54"/>
      <c r="H37" s="54"/>
      <c r="I37" s="54"/>
      <c r="J37" s="54"/>
      <c r="K37" s="54"/>
      <c r="L37" s="54"/>
      <c r="M37" s="54"/>
      <c r="N37" s="54"/>
      <c r="O37" s="55"/>
      <c r="P37" s="55"/>
      <c r="Q37" s="55"/>
    </row>
    <row r="38" spans="1:19" s="27" customFormat="1" ht="15" customHeight="1">
      <c r="A38" s="50" t="s">
        <v>48</v>
      </c>
      <c r="B38" s="59">
        <f>SUM(B39:B42)</f>
        <v>227742.08</v>
      </c>
      <c r="C38" s="58">
        <f>C41</f>
        <v>21383.6</v>
      </c>
      <c r="D38" s="58"/>
      <c r="E38" s="58"/>
      <c r="F38" s="58"/>
      <c r="G38" s="58"/>
      <c r="H38" s="58">
        <f>H40+H41</f>
        <v>576.8649999999999</v>
      </c>
      <c r="I38" s="58"/>
      <c r="J38" s="58"/>
      <c r="K38" s="58">
        <f>K41</f>
        <v>11.003849999999998</v>
      </c>
      <c r="L38" s="58">
        <f>L39+L41</f>
        <v>6997.013999999999</v>
      </c>
      <c r="M38" s="58"/>
      <c r="N38" s="58"/>
      <c r="O38" s="58"/>
      <c r="P38" s="58"/>
      <c r="Q38" s="58">
        <f>Q42+Q41+Q40+Q39</f>
        <v>0</v>
      </c>
      <c r="S38" s="25"/>
    </row>
    <row r="39" spans="1:17" ht="15" customHeight="1">
      <c r="A39" s="21" t="s">
        <v>49</v>
      </c>
      <c r="B39" s="51"/>
      <c r="C39" s="51"/>
      <c r="D39" s="51"/>
      <c r="E39" s="52"/>
      <c r="F39" s="53"/>
      <c r="G39" s="54"/>
      <c r="H39" s="54"/>
      <c r="I39" s="54"/>
      <c r="J39" s="54"/>
      <c r="K39" s="54"/>
      <c r="L39" s="54">
        <f>1.035*4004</f>
        <v>4144.139999999999</v>
      </c>
      <c r="M39" s="54"/>
      <c r="N39" s="54"/>
      <c r="O39" s="55"/>
      <c r="P39" s="55"/>
      <c r="Q39" s="55"/>
    </row>
    <row r="40" spans="1:17" ht="15" customHeight="1">
      <c r="A40" s="21" t="s">
        <v>50</v>
      </c>
      <c r="B40" s="51"/>
      <c r="C40" s="51"/>
      <c r="D40" s="51"/>
      <c r="E40" s="52"/>
      <c r="F40" s="53"/>
      <c r="G40" s="54"/>
      <c r="H40" s="54">
        <f>1.13*204.2</f>
        <v>230.74599999999995</v>
      </c>
      <c r="I40" s="54"/>
      <c r="J40" s="54"/>
      <c r="K40" s="54"/>
      <c r="L40" s="54"/>
      <c r="M40" s="54"/>
      <c r="N40" s="54"/>
      <c r="O40" s="55"/>
      <c r="P40" s="55"/>
      <c r="Q40" s="55"/>
    </row>
    <row r="41" spans="1:17" ht="15" customHeight="1">
      <c r="A41" s="21" t="s">
        <v>51</v>
      </c>
      <c r="B41" s="51">
        <f>0.4*569355.2</f>
        <v>227742.08</v>
      </c>
      <c r="C41" s="51">
        <f>30548*0.7</f>
        <v>21383.6</v>
      </c>
      <c r="D41" s="51"/>
      <c r="E41" s="52"/>
      <c r="F41" s="53"/>
      <c r="G41" s="54"/>
      <c r="H41" s="54">
        <f>1.13*306.3</f>
        <v>346.11899999999997</v>
      </c>
      <c r="I41" s="54"/>
      <c r="J41" s="54"/>
      <c r="K41" s="54">
        <f>1.045*10.53</f>
        <v>11.003849999999998</v>
      </c>
      <c r="L41" s="54">
        <f>1.035*2756.4</f>
        <v>2852.874</v>
      </c>
      <c r="M41" s="54"/>
      <c r="N41" s="54"/>
      <c r="O41" s="55"/>
      <c r="P41" s="55"/>
      <c r="Q41" s="55"/>
    </row>
    <row r="42" spans="1:17" ht="15" customHeight="1">
      <c r="A42" s="21" t="s">
        <v>52</v>
      </c>
      <c r="B42" s="51"/>
      <c r="C42" s="51"/>
      <c r="D42" s="51"/>
      <c r="E42" s="52"/>
      <c r="F42" s="53"/>
      <c r="G42" s="54"/>
      <c r="H42" s="54"/>
      <c r="I42" s="54"/>
      <c r="J42" s="54"/>
      <c r="K42" s="54"/>
      <c r="L42" s="54"/>
      <c r="M42" s="54"/>
      <c r="N42" s="54"/>
      <c r="O42" s="55"/>
      <c r="P42" s="55"/>
      <c r="Q42" s="55"/>
    </row>
    <row r="43" spans="1:17" s="25" customFormat="1" ht="15" customHeight="1">
      <c r="A43" s="24" t="s">
        <v>53</v>
      </c>
      <c r="B43" s="51"/>
      <c r="C43" s="51"/>
      <c r="D43" s="51"/>
      <c r="E43" s="52"/>
      <c r="F43" s="53"/>
      <c r="G43" s="54"/>
      <c r="H43" s="54"/>
      <c r="I43" s="54"/>
      <c r="J43" s="54"/>
      <c r="K43" s="54"/>
      <c r="L43" s="54"/>
      <c r="M43" s="54"/>
      <c r="N43" s="54">
        <f>0.96*183.1+3473</f>
        <v>3648.776</v>
      </c>
      <c r="O43" s="55"/>
      <c r="P43" s="55"/>
      <c r="Q43" s="55"/>
    </row>
    <row r="44" spans="1:17" s="25" customFormat="1" ht="15" customHeight="1">
      <c r="A44" s="49" t="s">
        <v>54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>
        <f>L45+L46</f>
        <v>55</v>
      </c>
      <c r="M44" s="52"/>
      <c r="N44" s="52"/>
      <c r="O44" s="52">
        <f>O46+O45</f>
        <v>55</v>
      </c>
      <c r="P44" s="52"/>
      <c r="Q44" s="52">
        <f>Q46+Q45</f>
        <v>55</v>
      </c>
    </row>
    <row r="45" spans="1:17" ht="15" customHeight="1">
      <c r="A45" s="21" t="s">
        <v>55</v>
      </c>
      <c r="B45" s="51"/>
      <c r="C45" s="51"/>
      <c r="D45" s="51"/>
      <c r="E45" s="52"/>
      <c r="F45" s="53"/>
      <c r="G45" s="54"/>
      <c r="H45" s="54"/>
      <c r="I45" s="54"/>
      <c r="J45" s="54"/>
      <c r="K45" s="54"/>
      <c r="L45" s="54">
        <v>21</v>
      </c>
      <c r="M45" s="54"/>
      <c r="N45" s="54"/>
      <c r="O45" s="55">
        <v>21</v>
      </c>
      <c r="P45" s="55"/>
      <c r="Q45" s="55">
        <f>O45</f>
        <v>21</v>
      </c>
    </row>
    <row r="46" spans="1:17" ht="15" customHeight="1">
      <c r="A46" s="21" t="s">
        <v>56</v>
      </c>
      <c r="B46" s="51"/>
      <c r="C46" s="51"/>
      <c r="D46" s="51"/>
      <c r="E46" s="52"/>
      <c r="F46" s="53"/>
      <c r="G46" s="54"/>
      <c r="H46" s="54"/>
      <c r="I46" s="54"/>
      <c r="J46" s="54"/>
      <c r="K46" s="54"/>
      <c r="L46" s="54">
        <v>34</v>
      </c>
      <c r="M46" s="54"/>
      <c r="N46" s="54"/>
      <c r="O46" s="55">
        <v>34</v>
      </c>
      <c r="P46" s="55"/>
      <c r="Q46" s="55">
        <f>O46</f>
        <v>34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75" zoomScaleNormal="75" zoomScalePageLayoutView="0" workbookViewId="0" topLeftCell="B6">
      <selection activeCell="H23" sqref="H23"/>
    </sheetView>
  </sheetViews>
  <sheetFormatPr defaultColWidth="15.7109375" defaultRowHeight="15" customHeight="1"/>
  <cols>
    <col min="1" max="1" width="61.28125" style="22" bestFit="1" customWidth="1"/>
    <col min="2" max="2" width="18.421875" style="22" customWidth="1"/>
    <col min="3" max="3" width="16.00390625" style="22" bestFit="1" customWidth="1"/>
    <col min="4" max="4" width="16.8515625" style="22" bestFit="1" customWidth="1"/>
    <col min="5" max="5" width="18.57421875" style="22" bestFit="1" customWidth="1"/>
    <col min="6" max="6" width="15.140625" style="22" customWidth="1"/>
    <col min="7" max="7" width="19.57421875" style="22" bestFit="1" customWidth="1"/>
    <col min="8" max="8" width="19.140625" style="22" bestFit="1" customWidth="1"/>
    <col min="9" max="16384" width="15.7109375" style="22" customWidth="1"/>
  </cols>
  <sheetData>
    <row r="1" spans="1:8" ht="15" customHeight="1">
      <c r="A1" s="20"/>
      <c r="B1" s="21"/>
      <c r="C1" s="21"/>
      <c r="D1" s="21"/>
      <c r="E1" s="21"/>
      <c r="F1" s="21"/>
      <c r="G1" s="21"/>
      <c r="H1" s="21"/>
    </row>
    <row r="2" spans="1:9" s="23" customFormat="1" ht="57.75" customHeight="1">
      <c r="A2" s="29" t="s">
        <v>108</v>
      </c>
      <c r="B2" s="41" t="s">
        <v>63</v>
      </c>
      <c r="C2" s="31" t="s">
        <v>106</v>
      </c>
      <c r="D2" s="45" t="s">
        <v>101</v>
      </c>
      <c r="E2" s="42" t="s">
        <v>93</v>
      </c>
      <c r="F2" s="46" t="s">
        <v>107</v>
      </c>
      <c r="G2" s="47" t="s">
        <v>105</v>
      </c>
      <c r="H2" s="43" t="s">
        <v>95</v>
      </c>
      <c r="I2" s="44" t="s">
        <v>65</v>
      </c>
    </row>
    <row r="3" spans="1:9" ht="15" customHeight="1">
      <c r="A3" s="21" t="s">
        <v>14</v>
      </c>
      <c r="B3" s="51">
        <f>Bilan_tep!B3+Bilan_tep!C3+Bilan_tep!D3</f>
        <v>361047.60000000003</v>
      </c>
      <c r="C3" s="60"/>
      <c r="D3" s="53"/>
      <c r="E3" s="54"/>
      <c r="F3" s="54"/>
      <c r="G3" s="55"/>
      <c r="H3" s="55"/>
      <c r="I3" s="61">
        <f>B3+C3+D3+E3+F3+G3+H3</f>
        <v>361047.60000000003</v>
      </c>
    </row>
    <row r="4" spans="1:9" ht="15" customHeight="1">
      <c r="A4" s="21" t="s">
        <v>15</v>
      </c>
      <c r="B4" s="51"/>
      <c r="C4" s="60"/>
      <c r="D4" s="53"/>
      <c r="E4" s="54"/>
      <c r="F4" s="54">
        <f>Bilan_tep!H4+Bilan_tep!I4+Bilan_tep!J4+Bilan_tep!K4+Bilan_tep!L4+Bilan_tep!M4+Bilan_tep!N4</f>
        <v>52506.913349999995</v>
      </c>
      <c r="G4" s="55"/>
      <c r="H4" s="55"/>
      <c r="I4" s="61">
        <f aca="true" t="shared" si="0" ref="I4:I46">B4+C4+D4+E4+F4+G4+H4</f>
        <v>52506.913349999995</v>
      </c>
    </row>
    <row r="5" spans="1:9" ht="15" customHeight="1">
      <c r="A5" s="21" t="s">
        <v>16</v>
      </c>
      <c r="B5" s="51"/>
      <c r="C5" s="60"/>
      <c r="D5" s="53"/>
      <c r="E5" s="54"/>
      <c r="F5" s="54"/>
      <c r="G5" s="55"/>
      <c r="H5" s="55"/>
      <c r="I5" s="61">
        <f t="shared" si="0"/>
        <v>0</v>
      </c>
    </row>
    <row r="6" spans="1:9" ht="15" customHeight="1">
      <c r="A6" s="21" t="s">
        <v>17</v>
      </c>
      <c r="B6" s="51"/>
      <c r="C6" s="60"/>
      <c r="D6" s="53"/>
      <c r="E6" s="54"/>
      <c r="F6" s="54"/>
      <c r="G6" s="55"/>
      <c r="H6" s="55"/>
      <c r="I6" s="61">
        <f t="shared" si="0"/>
        <v>0</v>
      </c>
    </row>
    <row r="7" spans="1:9" ht="15" customHeight="1">
      <c r="A7" s="21" t="s">
        <v>18</v>
      </c>
      <c r="B7" s="51"/>
      <c r="C7" s="60"/>
      <c r="D7" s="53"/>
      <c r="E7" s="54"/>
      <c r="F7" s="54"/>
      <c r="G7" s="55"/>
      <c r="H7" s="55"/>
      <c r="I7" s="61">
        <f t="shared" si="0"/>
        <v>0</v>
      </c>
    </row>
    <row r="8" spans="1:9" s="25" customFormat="1" ht="15" customHeight="1">
      <c r="A8" s="24" t="s">
        <v>61</v>
      </c>
      <c r="B8" s="51">
        <f>Bilan_tep!B8+Bilan_tep!C8+Bilan_tep!D8</f>
        <v>361047.60000000003</v>
      </c>
      <c r="C8" s="60"/>
      <c r="D8" s="53"/>
      <c r="E8" s="54"/>
      <c r="F8" s="54">
        <f>Bilan_tep!H8+Bilan_tep!I8+Bilan_tep!J8+Bilan_tep!K8+Bilan_tep!L8+Bilan_tep!M8+Bilan_tep!N8</f>
        <v>52506.913349999995</v>
      </c>
      <c r="G8" s="55"/>
      <c r="H8" s="55">
        <f>Bilan_tep!Q8</f>
        <v>0</v>
      </c>
      <c r="I8" s="61">
        <f t="shared" si="0"/>
        <v>413554.51335</v>
      </c>
    </row>
    <row r="9" spans="1:9" ht="15" customHeight="1">
      <c r="A9" s="21" t="s">
        <v>20</v>
      </c>
      <c r="B9" s="51"/>
      <c r="C9" s="60"/>
      <c r="D9" s="53"/>
      <c r="E9" s="54"/>
      <c r="F9" s="54"/>
      <c r="G9" s="55"/>
      <c r="H9" s="55"/>
      <c r="I9" s="61">
        <f t="shared" si="0"/>
        <v>0</v>
      </c>
    </row>
    <row r="10" spans="1:9" ht="15" customHeight="1">
      <c r="A10" s="21" t="s">
        <v>21</v>
      </c>
      <c r="B10" s="51">
        <f>Bilan_tep!B10+Bilan_tep!C10+Bilan_tep!D10</f>
        <v>0</v>
      </c>
      <c r="C10" s="60"/>
      <c r="D10" s="53"/>
      <c r="E10" s="54"/>
      <c r="F10" s="54">
        <f>Bilan_tep!H10+Bilan_tep!I10+Bilan_tep!J10+Bilan_tep!K10+Bilan_tep!L10+Bilan_tep!M10+Bilan_tep!N10</f>
        <v>-0.6280000000010659</v>
      </c>
      <c r="G10" s="55"/>
      <c r="H10" s="55">
        <f>Bilan_tep!Q10</f>
        <v>0</v>
      </c>
      <c r="I10" s="61">
        <f t="shared" si="0"/>
        <v>-0.6280000000010659</v>
      </c>
    </row>
    <row r="11" spans="1:9" s="25" customFormat="1" ht="15" customHeight="1">
      <c r="A11" s="24" t="s">
        <v>22</v>
      </c>
      <c r="B11" s="51">
        <f>Bilan_tep!B11+Bilan_tep!C11+Bilan_tep!D11</f>
        <v>-54986.4</v>
      </c>
      <c r="C11" s="60"/>
      <c r="D11" s="53"/>
      <c r="E11" s="54"/>
      <c r="F11" s="54">
        <f>Bilan_tep!H11+Bilan_tep!I11+Bilan_tep!J11+Bilan_tep!K11+Bilan_tep!L11+Bilan_tep!M11+Bilan_tep!N11</f>
        <v>-13004.050499999998</v>
      </c>
      <c r="G11" s="55"/>
      <c r="H11" s="55">
        <f>SUM(H12:H19)</f>
        <v>4730</v>
      </c>
      <c r="I11" s="61">
        <f t="shared" si="0"/>
        <v>-63260.450500000006</v>
      </c>
    </row>
    <row r="12" spans="1:9" ht="15" customHeight="1">
      <c r="A12" s="21" t="s">
        <v>23</v>
      </c>
      <c r="B12" s="51"/>
      <c r="C12" s="60"/>
      <c r="D12" s="53"/>
      <c r="E12" s="54"/>
      <c r="F12" s="54">
        <f>Bilan_tep!H12+Bilan_tep!I12+Bilan_tep!J12+Bilan_tep!K12+Bilan_tep!L12+Bilan_tep!M12+Bilan_tep!N12</f>
        <v>-5006.294999999999</v>
      </c>
      <c r="G12" s="55"/>
      <c r="H12" s="55">
        <f>Bilan_tep!Q12</f>
        <v>1806</v>
      </c>
      <c r="I12" s="61">
        <f t="shared" si="0"/>
        <v>-3200.294999999999</v>
      </c>
    </row>
    <row r="13" spans="1:9" ht="15" customHeight="1">
      <c r="A13" s="21" t="s">
        <v>24</v>
      </c>
      <c r="B13" s="51"/>
      <c r="C13" s="60"/>
      <c r="D13" s="53"/>
      <c r="E13" s="54"/>
      <c r="F13" s="54">
        <f>Bilan_tep!H13+Bilan_tep!I13+Bilan_tep!J13+Bilan_tep!K13+Bilan_tep!L13+Bilan_tep!M13+Bilan_tep!N13</f>
        <v>-7997.755499999999</v>
      </c>
      <c r="G13" s="55"/>
      <c r="H13" s="55">
        <f>Bilan_tep!Q13</f>
        <v>2924</v>
      </c>
      <c r="I13" s="61">
        <f t="shared" si="0"/>
        <v>-5073.755499999999</v>
      </c>
    </row>
    <row r="14" spans="1:9" ht="15" customHeight="1">
      <c r="A14" s="21" t="s">
        <v>25</v>
      </c>
      <c r="B14" s="51"/>
      <c r="C14" s="60"/>
      <c r="D14" s="53"/>
      <c r="E14" s="54"/>
      <c r="F14" s="54"/>
      <c r="G14" s="55"/>
      <c r="H14" s="55"/>
      <c r="I14" s="61">
        <f t="shared" si="0"/>
        <v>0</v>
      </c>
    </row>
    <row r="15" spans="1:9" ht="15" customHeight="1">
      <c r="A15" s="21" t="s">
        <v>26</v>
      </c>
      <c r="B15" s="51"/>
      <c r="C15" s="60"/>
      <c r="D15" s="53"/>
      <c r="E15" s="54"/>
      <c r="F15" s="54"/>
      <c r="G15" s="55"/>
      <c r="H15" s="55"/>
      <c r="I15" s="61">
        <f t="shared" si="0"/>
        <v>0</v>
      </c>
    </row>
    <row r="16" spans="1:9" ht="15" customHeight="1">
      <c r="A16" s="21" t="s">
        <v>27</v>
      </c>
      <c r="B16" s="51"/>
      <c r="C16" s="60"/>
      <c r="D16" s="53"/>
      <c r="E16" s="54"/>
      <c r="F16" s="54"/>
      <c r="G16" s="55"/>
      <c r="H16" s="55"/>
      <c r="I16" s="61">
        <f t="shared" si="0"/>
        <v>0</v>
      </c>
    </row>
    <row r="17" spans="1:9" ht="15" customHeight="1">
      <c r="A17" s="21" t="s">
        <v>28</v>
      </c>
      <c r="B17" s="51"/>
      <c r="C17" s="60"/>
      <c r="D17" s="53"/>
      <c r="E17" s="54"/>
      <c r="F17" s="54"/>
      <c r="G17" s="55"/>
      <c r="H17" s="55"/>
      <c r="I17" s="61">
        <f t="shared" si="0"/>
        <v>0</v>
      </c>
    </row>
    <row r="18" spans="1:9" ht="15" customHeight="1">
      <c r="A18" s="21" t="s">
        <v>29</v>
      </c>
      <c r="B18" s="51">
        <f>Bilan_tep!B18+Bilan_tep!C18+Bilan_tep!D18</f>
        <v>-54986.4</v>
      </c>
      <c r="C18" s="60"/>
      <c r="D18" s="53"/>
      <c r="E18" s="54"/>
      <c r="F18" s="54"/>
      <c r="G18" s="55"/>
      <c r="H18" s="55"/>
      <c r="I18" s="61">
        <f t="shared" si="0"/>
        <v>-54986.4</v>
      </c>
    </row>
    <row r="19" spans="1:9" ht="15" customHeight="1">
      <c r="A19" s="21" t="s">
        <v>30</v>
      </c>
      <c r="B19" s="51"/>
      <c r="C19" s="60"/>
      <c r="D19" s="53"/>
      <c r="E19" s="54"/>
      <c r="F19" s="54"/>
      <c r="G19" s="55"/>
      <c r="H19" s="55"/>
      <c r="I19" s="61">
        <f t="shared" si="0"/>
        <v>0</v>
      </c>
    </row>
    <row r="20" spans="1:9" s="25" customFormat="1" ht="15" customHeight="1">
      <c r="A20" s="24" t="s">
        <v>31</v>
      </c>
      <c r="B20" s="51"/>
      <c r="C20" s="60"/>
      <c r="D20" s="53"/>
      <c r="E20" s="54"/>
      <c r="F20" s="54"/>
      <c r="G20" s="55"/>
      <c r="H20" s="55"/>
      <c r="I20" s="61">
        <f t="shared" si="0"/>
        <v>0</v>
      </c>
    </row>
    <row r="21" spans="1:9" s="25" customFormat="1" ht="15" customHeight="1">
      <c r="A21" s="24" t="s">
        <v>32</v>
      </c>
      <c r="B21" s="51"/>
      <c r="C21" s="60"/>
      <c r="D21" s="53"/>
      <c r="E21" s="54"/>
      <c r="F21" s="54"/>
      <c r="G21" s="55"/>
      <c r="H21" s="55">
        <f>Bilan_tep!Q21</f>
        <v>0</v>
      </c>
      <c r="I21" s="61">
        <f t="shared" si="0"/>
        <v>0</v>
      </c>
    </row>
    <row r="22" spans="1:9" s="25" customFormat="1" ht="15" customHeight="1">
      <c r="A22" s="24" t="s">
        <v>33</v>
      </c>
      <c r="B22" s="51">
        <f>Bilan_tep!B22+Bilan_tep!C22+Bilan_tep!D22</f>
        <v>306061.19999999995</v>
      </c>
      <c r="C22" s="60"/>
      <c r="D22" s="53"/>
      <c r="E22" s="54"/>
      <c r="F22" s="54">
        <f>Bilan_tep!H22+Bilan_tep!I22+Bilan_tep!J22+Bilan_tep!K22+Bilan_tep!L22+Bilan_tep!M22+Bilan_tep!N22</f>
        <v>39502.23484999999</v>
      </c>
      <c r="G22" s="55"/>
      <c r="H22" s="55">
        <f>Bilan_tep!Q22</f>
        <v>4730</v>
      </c>
      <c r="I22" s="61">
        <f t="shared" si="0"/>
        <v>350293.43484999996</v>
      </c>
    </row>
    <row r="23" spans="1:9" s="27" customFormat="1" ht="15" customHeight="1">
      <c r="A23" s="26" t="s">
        <v>34</v>
      </c>
      <c r="B23" s="51">
        <f>Bilan_tep!B23+Bilan_tep!C23+Bilan_tep!D23</f>
        <v>56935.52</v>
      </c>
      <c r="C23" s="60"/>
      <c r="D23" s="53"/>
      <c r="E23" s="54"/>
      <c r="F23" s="54">
        <f>Bilan_tep!H23+Bilan_tep!I23+Bilan_tep!J23+Bilan_tep!K23+Bilan_tep!L23+Bilan_tep!M23+Bilan_tep!N23</f>
        <v>2807.4089</v>
      </c>
      <c r="G23" s="55"/>
      <c r="H23" s="55"/>
      <c r="I23" s="61">
        <f t="shared" si="0"/>
        <v>59742.9289</v>
      </c>
    </row>
    <row r="24" spans="1:9" ht="15" customHeight="1">
      <c r="A24" s="21" t="s">
        <v>35</v>
      </c>
      <c r="B24" s="51"/>
      <c r="C24" s="60"/>
      <c r="D24" s="53"/>
      <c r="E24" s="54"/>
      <c r="F24" s="54"/>
      <c r="G24" s="55"/>
      <c r="H24" s="55"/>
      <c r="I24" s="61">
        <f t="shared" si="0"/>
        <v>0</v>
      </c>
    </row>
    <row r="25" spans="1:9" ht="15" customHeight="1">
      <c r="A25" s="21" t="s">
        <v>66</v>
      </c>
      <c r="B25" s="51"/>
      <c r="C25" s="60"/>
      <c r="D25" s="53"/>
      <c r="E25" s="54"/>
      <c r="F25" s="54"/>
      <c r="G25" s="55"/>
      <c r="H25" s="55"/>
      <c r="I25" s="61">
        <f t="shared" si="0"/>
        <v>0</v>
      </c>
    </row>
    <row r="26" spans="1:9" ht="15" customHeight="1">
      <c r="A26" s="21" t="s">
        <v>36</v>
      </c>
      <c r="B26" s="51"/>
      <c r="C26" s="60"/>
      <c r="D26" s="53"/>
      <c r="E26" s="54"/>
      <c r="F26" s="54"/>
      <c r="G26" s="55"/>
      <c r="H26" s="55"/>
      <c r="I26" s="61">
        <f t="shared" si="0"/>
        <v>0</v>
      </c>
    </row>
    <row r="27" spans="1:9" ht="15" customHeight="1">
      <c r="A27" s="21" t="s">
        <v>37</v>
      </c>
      <c r="B27" s="51"/>
      <c r="C27" s="60"/>
      <c r="D27" s="53"/>
      <c r="E27" s="54"/>
      <c r="F27" s="54"/>
      <c r="G27" s="55"/>
      <c r="H27" s="55"/>
      <c r="I27" s="61">
        <f t="shared" si="0"/>
        <v>0</v>
      </c>
    </row>
    <row r="28" spans="1:9" ht="15" customHeight="1">
      <c r="A28" s="21" t="s">
        <v>38</v>
      </c>
      <c r="B28" s="51"/>
      <c r="C28" s="60"/>
      <c r="D28" s="53"/>
      <c r="E28" s="54"/>
      <c r="F28" s="54"/>
      <c r="G28" s="55"/>
      <c r="H28" s="55"/>
      <c r="I28" s="61">
        <f t="shared" si="0"/>
        <v>0</v>
      </c>
    </row>
    <row r="29" spans="1:9" ht="15" customHeight="1">
      <c r="A29" s="21" t="s">
        <v>39</v>
      </c>
      <c r="B29" s="51"/>
      <c r="C29" s="60"/>
      <c r="D29" s="53"/>
      <c r="E29" s="54"/>
      <c r="F29" s="54"/>
      <c r="G29" s="55"/>
      <c r="H29" s="55"/>
      <c r="I29" s="61">
        <f t="shared" si="0"/>
        <v>0</v>
      </c>
    </row>
    <row r="30" spans="1:9" ht="15" customHeight="1">
      <c r="A30" s="21" t="s">
        <v>40</v>
      </c>
      <c r="B30" s="51">
        <f>Bilan_tep!B30+Bilan_tep!C30+Bilan_tep!D30</f>
        <v>56935.52</v>
      </c>
      <c r="C30" s="60"/>
      <c r="D30" s="53"/>
      <c r="E30" s="54"/>
      <c r="F30" s="54">
        <f>Bilan_tep!H30+Bilan_tep!I30+Bilan_tep!J30+Bilan_tep!K30+Bilan_tep!L30+Bilan_tep!M30+Bilan_tep!N30</f>
        <v>2807.4089</v>
      </c>
      <c r="G30" s="55"/>
      <c r="H30" s="55"/>
      <c r="I30" s="61">
        <f t="shared" si="0"/>
        <v>59742.9289</v>
      </c>
    </row>
    <row r="31" spans="1:9" s="27" customFormat="1" ht="15" customHeight="1">
      <c r="A31" s="26" t="s">
        <v>41</v>
      </c>
      <c r="B31" s="51"/>
      <c r="C31" s="60"/>
      <c r="D31" s="53"/>
      <c r="E31" s="54"/>
      <c r="F31" s="54">
        <f>Bilan_tep!H31+Bilan_tep!I31+Bilan_tep!J31+Bilan_tep!K31+Bilan_tep!L31+Bilan_tep!M31+Bilan_tep!N31</f>
        <v>25461.1671</v>
      </c>
      <c r="G31" s="55"/>
      <c r="H31" s="55"/>
      <c r="I31" s="61">
        <f t="shared" si="0"/>
        <v>25461.1671</v>
      </c>
    </row>
    <row r="32" spans="1:9" ht="15" customHeight="1">
      <c r="A32" s="21" t="s">
        <v>42</v>
      </c>
      <c r="B32" s="51"/>
      <c r="C32" s="60"/>
      <c r="D32" s="53"/>
      <c r="E32" s="54"/>
      <c r="F32" s="54">
        <v>1086</v>
      </c>
      <c r="G32" s="55"/>
      <c r="H32" s="55"/>
      <c r="I32" s="61">
        <f t="shared" si="0"/>
        <v>1086</v>
      </c>
    </row>
    <row r="33" spans="1:9" ht="15" customHeight="1">
      <c r="A33" s="21" t="s">
        <v>43</v>
      </c>
      <c r="B33" s="51"/>
      <c r="C33" s="60"/>
      <c r="D33" s="53"/>
      <c r="E33" s="54"/>
      <c r="F33" s="54">
        <f>Bilan_tep!H33+Bilan_tep!I33+Bilan_tep!J33+Bilan_tep!K33+Bilan_tep!L33+Bilan_tep!M33+Bilan_tep!N33</f>
        <v>24084.822099999998</v>
      </c>
      <c r="G33" s="55"/>
      <c r="H33" s="55"/>
      <c r="I33" s="61">
        <f t="shared" si="0"/>
        <v>24084.822099999998</v>
      </c>
    </row>
    <row r="34" spans="1:9" ht="15" customHeight="1">
      <c r="A34" s="21" t="s">
        <v>44</v>
      </c>
      <c r="B34" s="51"/>
      <c r="C34" s="60"/>
      <c r="D34" s="53"/>
      <c r="E34" s="54"/>
      <c r="F34" s="54"/>
      <c r="G34" s="55"/>
      <c r="H34" s="55"/>
      <c r="I34" s="61">
        <f t="shared" si="0"/>
        <v>0</v>
      </c>
    </row>
    <row r="35" spans="1:9" ht="15" customHeight="1">
      <c r="A35" s="21" t="s">
        <v>45</v>
      </c>
      <c r="B35" s="51"/>
      <c r="C35" s="60"/>
      <c r="D35" s="53"/>
      <c r="E35" s="54"/>
      <c r="F35" s="54"/>
      <c r="G35" s="55"/>
      <c r="H35" s="55"/>
      <c r="I35" s="61">
        <f t="shared" si="0"/>
        <v>0</v>
      </c>
    </row>
    <row r="36" spans="1:9" ht="15" customHeight="1">
      <c r="A36" s="21" t="s">
        <v>46</v>
      </c>
      <c r="B36" s="51"/>
      <c r="C36" s="60"/>
      <c r="D36" s="53"/>
      <c r="E36" s="54"/>
      <c r="F36" s="54">
        <f>Bilan_tep!H36+Bilan_tep!I36+Bilan_tep!J36+Bilan_tep!K36+Bilan_tep!L36+Bilan_tep!M36+Bilan_tep!N36</f>
        <v>290.3645</v>
      </c>
      <c r="G36" s="55"/>
      <c r="H36" s="55"/>
      <c r="I36" s="61">
        <f t="shared" si="0"/>
        <v>290.3645</v>
      </c>
    </row>
    <row r="37" spans="1:9" ht="15" customHeight="1">
      <c r="A37" s="21" t="s">
        <v>47</v>
      </c>
      <c r="B37" s="51"/>
      <c r="C37" s="60"/>
      <c r="D37" s="53"/>
      <c r="E37" s="54"/>
      <c r="F37" s="54"/>
      <c r="G37" s="55"/>
      <c r="H37" s="55"/>
      <c r="I37" s="61">
        <f t="shared" si="0"/>
        <v>0</v>
      </c>
    </row>
    <row r="38" spans="1:9" s="27" customFormat="1" ht="15" customHeight="1">
      <c r="A38" s="26" t="s">
        <v>48</v>
      </c>
      <c r="B38" s="51">
        <f>Bilan_tep!B38+Bilan_tep!C38+Bilan_tep!D38</f>
        <v>249125.68</v>
      </c>
      <c r="C38" s="60"/>
      <c r="D38" s="53"/>
      <c r="E38" s="54"/>
      <c r="F38" s="54">
        <f>Bilan_tep!H38+Bilan_tep!I38+Bilan_tep!J38+Bilan_tep!K38+Bilan_tep!L38+Bilan_tep!M38+Bilan_tep!N38</f>
        <v>7584.882849999999</v>
      </c>
      <c r="G38" s="55"/>
      <c r="H38" s="55"/>
      <c r="I38" s="61">
        <f t="shared" si="0"/>
        <v>256710.56285</v>
      </c>
    </row>
    <row r="39" spans="1:9" ht="15" customHeight="1">
      <c r="A39" s="21" t="s">
        <v>49</v>
      </c>
      <c r="B39" s="51"/>
      <c r="C39" s="60"/>
      <c r="D39" s="53"/>
      <c r="E39" s="54"/>
      <c r="F39" s="54">
        <f>Bilan_tep!H39+Bilan_tep!I39+Bilan_tep!J39+Bilan_tep!K39+Bilan_tep!L39+Bilan_tep!M39+Bilan_tep!N39</f>
        <v>4144.139999999999</v>
      </c>
      <c r="G39" s="55"/>
      <c r="H39" s="55"/>
      <c r="I39" s="61">
        <f t="shared" si="0"/>
        <v>4144.139999999999</v>
      </c>
    </row>
    <row r="40" spans="1:9" ht="15" customHeight="1">
      <c r="A40" s="21" t="s">
        <v>50</v>
      </c>
      <c r="B40" s="51"/>
      <c r="C40" s="60"/>
      <c r="D40" s="53"/>
      <c r="E40" s="54"/>
      <c r="F40" s="54">
        <f>Bilan_tep!H40+Bilan_tep!I40+Bilan_tep!J40+Bilan_tep!K40+Bilan_tep!L40+Bilan_tep!M40+Bilan_tep!N40</f>
        <v>230.74599999999995</v>
      </c>
      <c r="G40" s="55"/>
      <c r="H40" s="55"/>
      <c r="I40" s="61">
        <f t="shared" si="0"/>
        <v>230.74599999999995</v>
      </c>
    </row>
    <row r="41" spans="1:9" ht="15" customHeight="1">
      <c r="A41" s="21" t="s">
        <v>51</v>
      </c>
      <c r="B41" s="51">
        <f>Bilan_tep!B41+Bilan_tep!C41+Bilan_tep!D41</f>
        <v>249125.68</v>
      </c>
      <c r="C41" s="60"/>
      <c r="D41" s="53"/>
      <c r="E41" s="54"/>
      <c r="F41" s="54">
        <f>Bilan_tep!H41+Bilan_tep!I41+Bilan_tep!J41+Bilan_tep!K41+Bilan_tep!L41+Bilan_tep!M41+Bilan_tep!N41</f>
        <v>3209.9968499999995</v>
      </c>
      <c r="G41" s="55"/>
      <c r="H41" s="55"/>
      <c r="I41" s="61">
        <f t="shared" si="0"/>
        <v>252335.67685</v>
      </c>
    </row>
    <row r="42" spans="1:9" ht="15" customHeight="1">
      <c r="A42" s="21" t="s">
        <v>52</v>
      </c>
      <c r="B42" s="51"/>
      <c r="C42" s="60"/>
      <c r="D42" s="53"/>
      <c r="E42" s="54"/>
      <c r="F42" s="54"/>
      <c r="G42" s="55"/>
      <c r="H42" s="55"/>
      <c r="I42" s="61">
        <f t="shared" si="0"/>
        <v>0</v>
      </c>
    </row>
    <row r="43" spans="1:9" s="25" customFormat="1" ht="15" customHeight="1">
      <c r="A43" s="24" t="s">
        <v>53</v>
      </c>
      <c r="B43" s="51"/>
      <c r="C43" s="60"/>
      <c r="D43" s="53"/>
      <c r="E43" s="54"/>
      <c r="F43" s="54">
        <f>Bilan_tep!H43+Bilan_tep!I43+Bilan_tep!J43+Bilan_tep!K43+Bilan_tep!L43+Bilan_tep!M43+Bilan_tep!N43</f>
        <v>3648.776</v>
      </c>
      <c r="G43" s="55"/>
      <c r="H43" s="55"/>
      <c r="I43" s="61">
        <f t="shared" si="0"/>
        <v>3648.776</v>
      </c>
    </row>
    <row r="44" spans="1:9" s="25" customFormat="1" ht="15" customHeight="1">
      <c r="A44" s="24" t="s">
        <v>54</v>
      </c>
      <c r="B44" s="51"/>
      <c r="C44" s="60"/>
      <c r="D44" s="53"/>
      <c r="E44" s="54"/>
      <c r="F44" s="54"/>
      <c r="G44" s="55"/>
      <c r="H44" s="55">
        <f>Bilan_tep!H44+Bilan_tep!I44+Bilan_tep!J44+Bilan_tep!K44+Bilan_tep!L44+Bilan_tep!M44+Bilan_tep!N44</f>
        <v>55</v>
      </c>
      <c r="I44" s="61">
        <f t="shared" si="0"/>
        <v>55</v>
      </c>
    </row>
    <row r="45" spans="1:9" ht="15" customHeight="1">
      <c r="A45" s="21" t="s">
        <v>55</v>
      </c>
      <c r="B45" s="51"/>
      <c r="C45" s="60"/>
      <c r="D45" s="53"/>
      <c r="E45" s="54"/>
      <c r="F45" s="54"/>
      <c r="G45" s="55"/>
      <c r="H45" s="55">
        <f>Bilan_tep!H45+Bilan_tep!I45+Bilan_tep!J45+Bilan_tep!K45+Bilan_tep!L45+Bilan_tep!M45+Bilan_tep!N45</f>
        <v>21</v>
      </c>
      <c r="I45" s="61">
        <f t="shared" si="0"/>
        <v>21</v>
      </c>
    </row>
    <row r="46" spans="1:9" ht="15" customHeight="1">
      <c r="A46" s="21" t="s">
        <v>56</v>
      </c>
      <c r="B46" s="51"/>
      <c r="C46" s="60"/>
      <c r="D46" s="53"/>
      <c r="E46" s="54"/>
      <c r="F46" s="54"/>
      <c r="G46" s="55"/>
      <c r="H46" s="55">
        <f>Bilan_tep!H46+Bilan_tep!I46+Bilan_tep!J46+Bilan_tep!K46+Bilan_tep!L46+Bilan_tep!M46+Bilan_tep!N46</f>
        <v>34</v>
      </c>
      <c r="I46" s="61">
        <f t="shared" si="0"/>
        <v>34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ieauser</dc:creator>
  <cp:keywords/>
  <dc:description/>
  <cp:lastModifiedBy>dvilar</cp:lastModifiedBy>
  <cp:lastPrinted>2008-05-03T10:58:37Z</cp:lastPrinted>
  <dcterms:created xsi:type="dcterms:W3CDTF">2004-12-03T09:35:09Z</dcterms:created>
  <dcterms:modified xsi:type="dcterms:W3CDTF">2012-06-21T19:37:49Z</dcterms:modified>
  <cp:category/>
  <cp:version/>
  <cp:contentType/>
  <cp:contentStatus/>
  <cp:revision>1</cp:revision>
</cp:coreProperties>
</file>